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showInkAnnotation="0"/>
  <mc:AlternateContent xmlns:mc="http://schemas.openxmlformats.org/markup-compatibility/2006">
    <mc:Choice Requires="x15">
      <x15ac:absPath xmlns:x15ac="http://schemas.microsoft.com/office/spreadsheetml/2010/11/ac" url="/Users/lee/Dropbox/Hermit Haus Redevelopment/Projects/2903 Chaparral, Bryan/2. Renovation/6 Documents/"/>
    </mc:Choice>
  </mc:AlternateContent>
  <bookViews>
    <workbookView xWindow="5580" yWindow="1480" windowWidth="30440" windowHeight="18980" tabRatio="500"/>
  </bookViews>
  <sheets>
    <sheet name="Cover Page" sheetId="2" r:id="rId1"/>
    <sheet name="Project Summary" sheetId="4" r:id="rId2"/>
    <sheet name="Exterior Demo" sheetId="7" r:id="rId3"/>
    <sheet name="Roof and Attic" sheetId="9" r:id="rId4"/>
    <sheet name="Building Exterior" sheetId="8" r:id="rId5"/>
    <sheet name="Landscaping" sheetId="10" r:id="rId6"/>
    <sheet name="Interior Demo" sheetId="11" r:id="rId7"/>
    <sheet name="Plumbing" sheetId="12" r:id="rId8"/>
    <sheet name="Electrical" sheetId="13" r:id="rId9"/>
    <sheet name="HVAC" sheetId="14" r:id="rId10"/>
    <sheet name="Walls &amp; Ceilings" sheetId="16" r:id="rId11"/>
    <sheet name="Paint" sheetId="17" r:id="rId12"/>
    <sheet name="Flooring" sheetId="20" r:id="rId13"/>
    <sheet name="Kitchen" sheetId="18" r:id="rId14"/>
    <sheet name="Baths" sheetId="21" r:id="rId15"/>
    <sheet name="Payment Schedule" sheetId="5" r:id="rId16"/>
  </sheets>
  <definedNames>
    <definedName name="Adr_Number">'Cover Page'!$C$3</definedName>
    <definedName name="City">'Cover Page'!$C$5</definedName>
    <definedName name="County">'Cover Page'!$C$6</definedName>
    <definedName name="Document">'Cover Page'!$A$1</definedName>
    <definedName name="End_Date">'Cover Page'!$A$13</definedName>
    <definedName name="_xlnm.Print_Area" localSheetId="0">'Cover Page'!$A$1:$A$46</definedName>
    <definedName name="_xlnm.Print_Titles" localSheetId="14">Baths!$11:$11</definedName>
    <definedName name="_xlnm.Print_Titles" localSheetId="4">'Building Exterior'!$11:$11</definedName>
    <definedName name="_xlnm.Print_Titles" localSheetId="8">Electrical!$11:$11</definedName>
    <definedName name="_xlnm.Print_Titles" localSheetId="2">'Exterior Demo'!$11:$11</definedName>
    <definedName name="_xlnm.Print_Titles" localSheetId="12">Flooring!$11:$11</definedName>
    <definedName name="_xlnm.Print_Titles" localSheetId="9">HVAC!$11:$11</definedName>
    <definedName name="_xlnm.Print_Titles" localSheetId="6">'Interior Demo'!$11:$11</definedName>
    <definedName name="_xlnm.Print_Titles" localSheetId="13">Kitchen!$11:$11</definedName>
    <definedName name="_xlnm.Print_Titles" localSheetId="5">Landscaping!$11:$11</definedName>
    <definedName name="_xlnm.Print_Titles" localSheetId="11">Paint!$11:$11</definedName>
    <definedName name="_xlnm.Print_Titles" localSheetId="15">'Payment Schedule'!$11:$11</definedName>
    <definedName name="_xlnm.Print_Titles" localSheetId="7">Plumbing!$11:$11</definedName>
    <definedName name="_xlnm.Print_Titles" localSheetId="3">'Roof and Attic'!$11:$11</definedName>
    <definedName name="_xlnm.Print_Titles" localSheetId="10">'Walls &amp; Ceilings'!$11:$11</definedName>
    <definedName name="Project_Name">'Cover Page'!$A$5</definedName>
    <definedName name="Project_Type">'Cover Page'!$C$1</definedName>
    <definedName name="Purchased">'Project Summary'!$C$55</definedName>
    <definedName name="SF">'Project Summary'!$A$5</definedName>
    <definedName name="Start_Date">'Cover Page'!$A$9</definedName>
    <definedName name="State">'Cover Page'!$C$7</definedName>
    <definedName name="Street">'Cover Page'!$C$4</definedName>
    <definedName name="Street_Address">'Cover Page'!$D$4</definedName>
    <definedName name="Street_Name">'Cover Page'!$C$4</definedName>
    <definedName name="Zip">'Cover Page'!$C$8</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L142" i="5" l="1"/>
  <c r="L141" i="5"/>
  <c r="A158" i="5"/>
  <c r="B158" i="5"/>
  <c r="C158" i="5"/>
  <c r="D158" i="5"/>
  <c r="E158" i="5"/>
  <c r="F158" i="5"/>
  <c r="G158" i="5"/>
  <c r="H158" i="5"/>
  <c r="I158" i="5"/>
  <c r="J158" i="5"/>
  <c r="K158" i="5"/>
  <c r="L158" i="5"/>
  <c r="M158" i="5"/>
  <c r="A152" i="5"/>
  <c r="B152" i="5"/>
  <c r="C152" i="5"/>
  <c r="D152" i="5"/>
  <c r="E152" i="5"/>
  <c r="F152" i="5"/>
  <c r="G152" i="5"/>
  <c r="H152" i="5"/>
  <c r="I152" i="5"/>
  <c r="J152" i="5"/>
  <c r="K152" i="5"/>
  <c r="L152" i="5"/>
  <c r="M152" i="5"/>
  <c r="A153" i="5"/>
  <c r="B153" i="5"/>
  <c r="C153" i="5"/>
  <c r="D153" i="5"/>
  <c r="E153" i="5"/>
  <c r="F153" i="5"/>
  <c r="G153" i="5"/>
  <c r="H153" i="5"/>
  <c r="I153" i="5"/>
  <c r="J153" i="5"/>
  <c r="K153" i="5"/>
  <c r="L153" i="5"/>
  <c r="M153" i="5"/>
  <c r="A154" i="5"/>
  <c r="B154" i="5"/>
  <c r="C154" i="5"/>
  <c r="D154" i="5"/>
  <c r="E154" i="5"/>
  <c r="F154" i="5"/>
  <c r="G154" i="5"/>
  <c r="H154" i="5"/>
  <c r="I154" i="5"/>
  <c r="J154" i="5"/>
  <c r="K154" i="5"/>
  <c r="L154" i="5"/>
  <c r="M154" i="5"/>
  <c r="A155" i="5"/>
  <c r="B155" i="5"/>
  <c r="C155" i="5"/>
  <c r="D155" i="5"/>
  <c r="E155" i="5"/>
  <c r="F155" i="5"/>
  <c r="G155" i="5"/>
  <c r="H155" i="5"/>
  <c r="I155" i="5"/>
  <c r="J155" i="5"/>
  <c r="K155" i="5"/>
  <c r="L155" i="5"/>
  <c r="M155" i="5"/>
  <c r="A156" i="5"/>
  <c r="B156" i="5"/>
  <c r="C156" i="5"/>
  <c r="D156" i="5"/>
  <c r="E156" i="5"/>
  <c r="F156" i="5"/>
  <c r="G156" i="5"/>
  <c r="H156" i="5"/>
  <c r="I156" i="5"/>
  <c r="J156" i="5"/>
  <c r="K156" i="5"/>
  <c r="L156" i="5"/>
  <c r="M156" i="5"/>
  <c r="A157" i="5"/>
  <c r="B157" i="5"/>
  <c r="C157" i="5"/>
  <c r="D157" i="5"/>
  <c r="E157" i="5"/>
  <c r="F157" i="5"/>
  <c r="G157" i="5"/>
  <c r="H157" i="5"/>
  <c r="I157" i="5"/>
  <c r="J157" i="5"/>
  <c r="K157" i="5"/>
  <c r="L157" i="5"/>
  <c r="M157" i="5"/>
  <c r="I151" i="5"/>
  <c r="H151" i="5"/>
  <c r="D38" i="21"/>
  <c r="E38" i="21"/>
  <c r="D40" i="21"/>
  <c r="E40" i="21"/>
  <c r="D42" i="21"/>
  <c r="E42" i="21"/>
  <c r="D43" i="21"/>
  <c r="E43" i="21"/>
  <c r="D44" i="21"/>
  <c r="E44" i="21"/>
  <c r="D45" i="21"/>
  <c r="E45" i="21"/>
  <c r="D41" i="21"/>
  <c r="E41" i="21"/>
  <c r="H38" i="21"/>
  <c r="H21" i="21"/>
  <c r="H30" i="21"/>
  <c r="H12" i="21"/>
  <c r="I145" i="5"/>
  <c r="H145" i="5"/>
  <c r="M145" i="5"/>
  <c r="L145" i="5"/>
  <c r="F145" i="5"/>
  <c r="E145" i="5"/>
  <c r="K145" i="5"/>
  <c r="J145" i="5"/>
  <c r="G145" i="5"/>
  <c r="D145" i="5"/>
  <c r="C145" i="5"/>
  <c r="B145" i="5"/>
  <c r="A145" i="5"/>
  <c r="I142" i="5"/>
  <c r="H142" i="5"/>
  <c r="M142" i="5"/>
  <c r="F142" i="5"/>
  <c r="E142" i="5"/>
  <c r="K142" i="5"/>
  <c r="J142" i="5"/>
  <c r="G142" i="5"/>
  <c r="D142" i="5"/>
  <c r="C142" i="5"/>
  <c r="B142" i="5"/>
  <c r="A142" i="5"/>
  <c r="H28" i="18"/>
  <c r="H17" i="18"/>
  <c r="D16" i="18"/>
  <c r="E16" i="18"/>
  <c r="H20" i="18"/>
  <c r="I134" i="5"/>
  <c r="H134" i="5"/>
  <c r="M134" i="5"/>
  <c r="L134" i="5"/>
  <c r="F134" i="5"/>
  <c r="E134" i="5"/>
  <c r="K134" i="5"/>
  <c r="J134" i="5"/>
  <c r="G134" i="5"/>
  <c r="D134" i="5"/>
  <c r="C134" i="5"/>
  <c r="B134" i="5"/>
  <c r="A134" i="5"/>
  <c r="I127" i="5"/>
  <c r="H127" i="5"/>
  <c r="M127" i="5"/>
  <c r="L127" i="5"/>
  <c r="F127" i="5"/>
  <c r="E127" i="5"/>
  <c r="K127" i="5"/>
  <c r="J127" i="5"/>
  <c r="G127" i="5"/>
  <c r="D127" i="5"/>
  <c r="C127" i="5"/>
  <c r="B127" i="5"/>
  <c r="A127" i="5"/>
  <c r="H12" i="17"/>
  <c r="D12" i="17"/>
  <c r="D13" i="17"/>
  <c r="E13" i="17"/>
  <c r="D14" i="17"/>
  <c r="E14" i="17"/>
  <c r="D15" i="17"/>
  <c r="E15" i="17"/>
  <c r="D16" i="17"/>
  <c r="E16" i="17"/>
  <c r="D17" i="17"/>
  <c r="E17" i="17"/>
  <c r="D18" i="17"/>
  <c r="E18" i="17"/>
  <c r="D19" i="17"/>
  <c r="E19" i="17"/>
  <c r="D20" i="17"/>
  <c r="E20" i="17"/>
  <c r="D21" i="17"/>
  <c r="E21" i="17"/>
  <c r="D22" i="17"/>
  <c r="E22" i="17"/>
  <c r="D23" i="17"/>
  <c r="E23" i="17"/>
  <c r="D24" i="17"/>
  <c r="E24" i="17"/>
  <c r="D25" i="17"/>
  <c r="E25" i="17"/>
  <c r="D26" i="17"/>
  <c r="E26" i="17"/>
  <c r="D28" i="17"/>
  <c r="E28" i="17"/>
  <c r="E12" i="17"/>
  <c r="D32" i="17"/>
  <c r="E32" i="17"/>
  <c r="H32" i="17"/>
  <c r="H34" i="17"/>
  <c r="I118" i="5"/>
  <c r="H30" i="16"/>
  <c r="H50" i="16"/>
  <c r="H118" i="5"/>
  <c r="M118" i="5"/>
  <c r="L118" i="5"/>
  <c r="F118" i="5"/>
  <c r="E118" i="5"/>
  <c r="K118" i="5"/>
  <c r="J118" i="5"/>
  <c r="G118" i="5"/>
  <c r="D118" i="5"/>
  <c r="C118" i="5"/>
  <c r="B118" i="5"/>
  <c r="A118" i="5"/>
  <c r="H12" i="20"/>
  <c r="H29" i="20"/>
  <c r="H23" i="13"/>
  <c r="D12" i="16"/>
  <c r="D13" i="16"/>
  <c r="D14" i="16"/>
  <c r="D15" i="16"/>
  <c r="D16" i="16"/>
  <c r="D17" i="16"/>
  <c r="D18" i="16"/>
  <c r="D19" i="16"/>
  <c r="D20" i="16"/>
  <c r="D21" i="16"/>
  <c r="D22" i="16"/>
  <c r="D23" i="16"/>
  <c r="D24" i="16"/>
  <c r="D25" i="16"/>
  <c r="D26" i="16"/>
  <c r="D27" i="16"/>
  <c r="E27" i="16"/>
  <c r="D28" i="16"/>
  <c r="E28" i="16"/>
  <c r="H12" i="16"/>
  <c r="I109" i="5"/>
  <c r="H109" i="5"/>
  <c r="M109" i="5"/>
  <c r="L109" i="5"/>
  <c r="F109" i="5"/>
  <c r="E109" i="5"/>
  <c r="K109" i="5"/>
  <c r="J109" i="5"/>
  <c r="G109" i="5"/>
  <c r="D109" i="5"/>
  <c r="C109" i="5"/>
  <c r="B109" i="5"/>
  <c r="A109" i="5"/>
  <c r="H23" i="14"/>
  <c r="A99" i="5"/>
  <c r="B99" i="5"/>
  <c r="C99" i="5"/>
  <c r="D99" i="5"/>
  <c r="E99" i="5"/>
  <c r="F99" i="5"/>
  <c r="G99" i="5"/>
  <c r="H20" i="13"/>
  <c r="H43" i="13"/>
  <c r="H99" i="5"/>
  <c r="I99" i="5"/>
  <c r="J99" i="5"/>
  <c r="K99" i="5"/>
  <c r="L99" i="5"/>
  <c r="M99" i="5"/>
  <c r="H22" i="13"/>
  <c r="H21" i="13"/>
  <c r="H27" i="13"/>
  <c r="F85" i="5"/>
  <c r="J85" i="5"/>
  <c r="E85" i="5"/>
  <c r="K85" i="5"/>
  <c r="H14" i="12"/>
  <c r="H31" i="12"/>
  <c r="H85" i="5"/>
  <c r="I85" i="5"/>
  <c r="L85" i="5"/>
  <c r="M85" i="5"/>
  <c r="G85" i="5"/>
  <c r="D85" i="5"/>
  <c r="C85" i="5"/>
  <c r="B85" i="5"/>
  <c r="A85" i="5"/>
  <c r="I53" i="5"/>
  <c r="H53" i="5"/>
  <c r="M53" i="5"/>
  <c r="L53" i="5"/>
  <c r="F53" i="5"/>
  <c r="E53" i="5"/>
  <c r="K53" i="5"/>
  <c r="J53" i="5"/>
  <c r="D53" i="5"/>
  <c r="H13" i="11"/>
  <c r="H15" i="11"/>
  <c r="H12" i="11"/>
  <c r="H23" i="11"/>
  <c r="H66" i="5"/>
  <c r="G66" i="5"/>
  <c r="F66" i="5"/>
  <c r="E66" i="5"/>
  <c r="D66" i="5"/>
  <c r="C66" i="5"/>
  <c r="B66" i="5"/>
  <c r="A66" i="5"/>
  <c r="I66" i="5"/>
  <c r="M66" i="5"/>
  <c r="L66" i="5"/>
  <c r="K66" i="5"/>
  <c r="J66" i="5"/>
  <c r="H38" i="10"/>
  <c r="A55" i="5"/>
  <c r="B55" i="5"/>
  <c r="C55" i="5"/>
  <c r="D55" i="5"/>
  <c r="E55" i="5"/>
  <c r="F55" i="5"/>
  <c r="G55" i="5"/>
  <c r="H55" i="5"/>
  <c r="I55" i="5"/>
  <c r="J55" i="5"/>
  <c r="K55" i="5"/>
  <c r="L55" i="5"/>
  <c r="M55" i="5"/>
  <c r="H54" i="8"/>
  <c r="A25" i="5"/>
  <c r="B25" i="5"/>
  <c r="C25" i="5"/>
  <c r="D25" i="5"/>
  <c r="E25" i="5"/>
  <c r="F25" i="5"/>
  <c r="G25" i="5"/>
  <c r="H25" i="5"/>
  <c r="I25" i="5"/>
  <c r="J25" i="5"/>
  <c r="K25" i="5"/>
  <c r="L25" i="5"/>
  <c r="M25" i="5"/>
  <c r="A27" i="5"/>
  <c r="B27" i="5"/>
  <c r="C27" i="5"/>
  <c r="D27" i="5"/>
  <c r="E27" i="5"/>
  <c r="F27" i="5"/>
  <c r="G27" i="5"/>
  <c r="H15" i="7"/>
  <c r="H27" i="7"/>
  <c r="H27" i="5"/>
  <c r="I27" i="5"/>
  <c r="J27" i="5"/>
  <c r="K27" i="5"/>
  <c r="L27" i="5"/>
  <c r="M27" i="5"/>
  <c r="A5" i="2"/>
  <c r="B8" i="5"/>
  <c r="C23" i="5"/>
  <c r="E23" i="5"/>
  <c r="F23" i="5"/>
  <c r="G23" i="5"/>
  <c r="H23" i="5"/>
  <c r="I23" i="5"/>
  <c r="J23" i="5"/>
  <c r="K23" i="5"/>
  <c r="L23" i="5"/>
  <c r="M23" i="5"/>
  <c r="C21" i="5"/>
  <c r="D18" i="7"/>
  <c r="D19" i="7"/>
  <c r="D20" i="7"/>
  <c r="D21" i="7"/>
  <c r="D21" i="5"/>
  <c r="E21" i="5"/>
  <c r="F21" i="5"/>
  <c r="G21" i="5"/>
  <c r="H21" i="5"/>
  <c r="I21" i="5"/>
  <c r="J21" i="5"/>
  <c r="K21" i="5"/>
  <c r="L21" i="5"/>
  <c r="M21" i="5"/>
  <c r="C18" i="5"/>
  <c r="D18" i="5"/>
  <c r="E18" i="5"/>
  <c r="F18" i="5"/>
  <c r="G18" i="5"/>
  <c r="H18" i="5"/>
  <c r="I18" i="5"/>
  <c r="J18" i="5"/>
  <c r="K18" i="5"/>
  <c r="L18" i="5"/>
  <c r="M18" i="5"/>
  <c r="C19" i="5"/>
  <c r="D19" i="5"/>
  <c r="E19" i="5"/>
  <c r="F19" i="5"/>
  <c r="G19" i="5"/>
  <c r="H19" i="5"/>
  <c r="I19" i="5"/>
  <c r="J19" i="5"/>
  <c r="K19" i="5"/>
  <c r="L19" i="5"/>
  <c r="M19" i="5"/>
  <c r="C20" i="5"/>
  <c r="D20" i="5"/>
  <c r="E20" i="5"/>
  <c r="F20" i="5"/>
  <c r="G20" i="5"/>
  <c r="H20" i="5"/>
  <c r="I20" i="5"/>
  <c r="J20" i="5"/>
  <c r="K20" i="5"/>
  <c r="L20" i="5"/>
  <c r="M20" i="5"/>
  <c r="A9" i="2"/>
  <c r="D12" i="21"/>
  <c r="E12" i="21"/>
  <c r="D21" i="21"/>
  <c r="E21" i="21"/>
  <c r="D30" i="21"/>
  <c r="E30" i="21"/>
  <c r="D32" i="21"/>
  <c r="E32" i="21"/>
  <c r="D34" i="21"/>
  <c r="E34" i="21"/>
  <c r="D35" i="21"/>
  <c r="E35" i="21"/>
  <c r="D36" i="21"/>
  <c r="E36" i="21"/>
  <c r="D37" i="21"/>
  <c r="E37" i="21"/>
  <c r="D33" i="21"/>
  <c r="E33" i="21"/>
  <c r="D23" i="21"/>
  <c r="E23" i="21"/>
  <c r="D25" i="21"/>
  <c r="E25" i="21"/>
  <c r="D26" i="21"/>
  <c r="E26" i="21"/>
  <c r="D27" i="21"/>
  <c r="E27" i="21"/>
  <c r="D28" i="21"/>
  <c r="E28" i="21"/>
  <c r="D24" i="21"/>
  <c r="E24" i="21"/>
  <c r="D14" i="21"/>
  <c r="E14" i="21"/>
  <c r="D16" i="21"/>
  <c r="E16" i="21"/>
  <c r="D17" i="21"/>
  <c r="E17" i="21"/>
  <c r="D18" i="21"/>
  <c r="E18" i="21"/>
  <c r="D19" i="21"/>
  <c r="E19" i="21"/>
  <c r="D15" i="21"/>
  <c r="E15" i="21"/>
  <c r="G151" i="5"/>
  <c r="F151" i="5"/>
  <c r="E151" i="5"/>
  <c r="D151" i="5"/>
  <c r="C151" i="5"/>
  <c r="B151" i="5"/>
  <c r="A151" i="5"/>
  <c r="B2" i="21"/>
  <c r="M151" i="5"/>
  <c r="L151" i="5"/>
  <c r="K151" i="5"/>
  <c r="J151" i="5"/>
  <c r="I148" i="5"/>
  <c r="H148" i="5"/>
  <c r="M148" i="5"/>
  <c r="L148" i="5"/>
  <c r="F148" i="5"/>
  <c r="E148" i="5"/>
  <c r="K148" i="5"/>
  <c r="J148" i="5"/>
  <c r="G148" i="5"/>
  <c r="D148" i="5"/>
  <c r="C148" i="5"/>
  <c r="B148" i="5"/>
  <c r="I147" i="5"/>
  <c r="H147" i="5"/>
  <c r="M147" i="5"/>
  <c r="L147" i="5"/>
  <c r="F147" i="5"/>
  <c r="E147" i="5"/>
  <c r="K147" i="5"/>
  <c r="J147" i="5"/>
  <c r="G147" i="5"/>
  <c r="D147" i="5"/>
  <c r="C147" i="5"/>
  <c r="B147" i="5"/>
  <c r="I146" i="5"/>
  <c r="H146" i="5"/>
  <c r="M146" i="5"/>
  <c r="L146" i="5"/>
  <c r="F146" i="5"/>
  <c r="E146" i="5"/>
  <c r="K146" i="5"/>
  <c r="J146" i="5"/>
  <c r="G146" i="5"/>
  <c r="D146" i="5"/>
  <c r="C146" i="5"/>
  <c r="B146" i="5"/>
  <c r="A146" i="5"/>
  <c r="D12" i="18"/>
  <c r="D15" i="18"/>
  <c r="D17" i="18"/>
  <c r="D18" i="18"/>
  <c r="D19" i="18"/>
  <c r="D20" i="18"/>
  <c r="D21" i="18"/>
  <c r="D22" i="18"/>
  <c r="D23" i="18"/>
  <c r="D24" i="18"/>
  <c r="D25" i="18"/>
  <c r="D26" i="18"/>
  <c r="D27" i="18"/>
  <c r="E27" i="18"/>
  <c r="E26" i="18"/>
  <c r="E25" i="18"/>
  <c r="E24" i="18"/>
  <c r="E23" i="18"/>
  <c r="E22" i="18"/>
  <c r="E21" i="18"/>
  <c r="I144" i="5"/>
  <c r="H144" i="5"/>
  <c r="M144" i="5"/>
  <c r="L144" i="5"/>
  <c r="F144" i="5"/>
  <c r="E20" i="18"/>
  <c r="E144" i="5"/>
  <c r="K144" i="5"/>
  <c r="J144" i="5"/>
  <c r="G144" i="5"/>
  <c r="D144" i="5"/>
  <c r="C144" i="5"/>
  <c r="B144" i="5"/>
  <c r="A144" i="5"/>
  <c r="E19" i="18"/>
  <c r="E18" i="18"/>
  <c r="I143" i="5"/>
  <c r="H143" i="5"/>
  <c r="M143" i="5"/>
  <c r="L143" i="5"/>
  <c r="F143" i="5"/>
  <c r="E17" i="18"/>
  <c r="E143" i="5"/>
  <c r="K143" i="5"/>
  <c r="J143" i="5"/>
  <c r="G143" i="5"/>
  <c r="D143" i="5"/>
  <c r="C143" i="5"/>
  <c r="B143" i="5"/>
  <c r="A143" i="5"/>
  <c r="I141" i="5"/>
  <c r="H141" i="5"/>
  <c r="M141" i="5"/>
  <c r="F141" i="5"/>
  <c r="E15" i="18"/>
  <c r="E141" i="5"/>
  <c r="K141" i="5"/>
  <c r="J141" i="5"/>
  <c r="G141" i="5"/>
  <c r="D141" i="5"/>
  <c r="C141" i="5"/>
  <c r="B141" i="5"/>
  <c r="A141" i="5"/>
  <c r="I140" i="5"/>
  <c r="H140" i="5"/>
  <c r="G140" i="5"/>
  <c r="F140" i="5"/>
  <c r="E12" i="18"/>
  <c r="E140" i="5"/>
  <c r="D140" i="5"/>
  <c r="C140" i="5"/>
  <c r="B140" i="5"/>
  <c r="A140" i="5"/>
  <c r="M140" i="5"/>
  <c r="L140" i="5"/>
  <c r="K140" i="5"/>
  <c r="J140" i="5"/>
  <c r="I137" i="5"/>
  <c r="H137" i="5"/>
  <c r="M137" i="5"/>
  <c r="L137" i="5"/>
  <c r="F137" i="5"/>
  <c r="E137" i="5"/>
  <c r="K137" i="5"/>
  <c r="J137" i="5"/>
  <c r="G137" i="5"/>
  <c r="D137" i="5"/>
  <c r="C137" i="5"/>
  <c r="B137" i="5"/>
  <c r="I136" i="5"/>
  <c r="H136" i="5"/>
  <c r="M136" i="5"/>
  <c r="L136" i="5"/>
  <c r="F136" i="5"/>
  <c r="E136" i="5"/>
  <c r="K136" i="5"/>
  <c r="J136" i="5"/>
  <c r="G136" i="5"/>
  <c r="D136" i="5"/>
  <c r="C136" i="5"/>
  <c r="B136" i="5"/>
  <c r="I135" i="5"/>
  <c r="H135" i="5"/>
  <c r="M135" i="5"/>
  <c r="L135" i="5"/>
  <c r="F135" i="5"/>
  <c r="E135" i="5"/>
  <c r="K135" i="5"/>
  <c r="J135" i="5"/>
  <c r="G135" i="5"/>
  <c r="D135" i="5"/>
  <c r="C135" i="5"/>
  <c r="B135" i="5"/>
  <c r="A135" i="5"/>
  <c r="D12" i="20"/>
  <c r="D13" i="20"/>
  <c r="D14" i="20"/>
  <c r="D15" i="20"/>
  <c r="D16" i="20"/>
  <c r="D17" i="20"/>
  <c r="D18" i="20"/>
  <c r="D19" i="20"/>
  <c r="D20" i="20"/>
  <c r="D21" i="20"/>
  <c r="D22" i="20"/>
  <c r="D23" i="20"/>
  <c r="D24" i="20"/>
  <c r="D25" i="20"/>
  <c r="D26" i="20"/>
  <c r="D27" i="20"/>
  <c r="E27" i="20"/>
  <c r="E26" i="20"/>
  <c r="E25" i="20"/>
  <c r="E24" i="20"/>
  <c r="E23" i="20"/>
  <c r="E22" i="20"/>
  <c r="E21" i="20"/>
  <c r="E20" i="20"/>
  <c r="E19" i="20"/>
  <c r="E18" i="20"/>
  <c r="E17" i="20"/>
  <c r="E16" i="20"/>
  <c r="E15" i="20"/>
  <c r="E14" i="20"/>
  <c r="E13" i="20"/>
  <c r="I133" i="5"/>
  <c r="H133" i="5"/>
  <c r="G133" i="5"/>
  <c r="F133" i="5"/>
  <c r="E12" i="20"/>
  <c r="E133" i="5"/>
  <c r="D133" i="5"/>
  <c r="C133" i="5"/>
  <c r="B133" i="5"/>
  <c r="A133" i="5"/>
  <c r="D12" i="7"/>
  <c r="D13" i="5"/>
  <c r="E12" i="7"/>
  <c r="E13" i="5"/>
  <c r="D13" i="7"/>
  <c r="D14" i="5"/>
  <c r="E13" i="7"/>
  <c r="E14" i="5"/>
  <c r="E17" i="5"/>
  <c r="D12" i="9"/>
  <c r="E12" i="9"/>
  <c r="E34" i="5"/>
  <c r="D18" i="9"/>
  <c r="E18" i="9"/>
  <c r="E35" i="5"/>
  <c r="E47" i="5"/>
  <c r="E48" i="5"/>
  <c r="D20" i="8"/>
  <c r="E20" i="8"/>
  <c r="E49" i="5"/>
  <c r="D24" i="8"/>
  <c r="E24" i="8"/>
  <c r="E50" i="5"/>
  <c r="E72" i="5"/>
  <c r="E73" i="5"/>
  <c r="D12" i="12"/>
  <c r="E12" i="12"/>
  <c r="E80" i="5"/>
  <c r="D14" i="12"/>
  <c r="E14" i="12"/>
  <c r="E81" i="5"/>
  <c r="D19" i="12"/>
  <c r="E19" i="12"/>
  <c r="E82" i="5"/>
  <c r="D23" i="12"/>
  <c r="E23" i="12"/>
  <c r="E83" i="5"/>
  <c r="D12" i="13"/>
  <c r="E12" i="13"/>
  <c r="E91" i="5"/>
  <c r="D14" i="13"/>
  <c r="E14" i="13"/>
  <c r="E92" i="5"/>
  <c r="D18" i="13"/>
  <c r="E18" i="13"/>
  <c r="E93" i="5"/>
  <c r="D20" i="13"/>
  <c r="E20" i="13"/>
  <c r="E94" i="5"/>
  <c r="D27" i="13"/>
  <c r="E27" i="13"/>
  <c r="E95" i="5"/>
  <c r="D33" i="13"/>
  <c r="E33" i="13"/>
  <c r="E96" i="5"/>
  <c r="D36" i="13"/>
  <c r="E36" i="13"/>
  <c r="E97" i="5"/>
  <c r="D42" i="13"/>
  <c r="E42" i="13"/>
  <c r="E98" i="5"/>
  <c r="D12" i="14"/>
  <c r="E12" i="14"/>
  <c r="E105" i="5"/>
  <c r="D14" i="14"/>
  <c r="E14" i="14"/>
  <c r="E106" i="5"/>
  <c r="D16" i="14"/>
  <c r="E16" i="14"/>
  <c r="E107" i="5"/>
  <c r="D18" i="14"/>
  <c r="E18" i="14"/>
  <c r="E108" i="5"/>
  <c r="E13" i="16"/>
  <c r="E14" i="16"/>
  <c r="E15" i="16"/>
  <c r="E16" i="16"/>
  <c r="E17" i="16"/>
  <c r="E18" i="16"/>
  <c r="E19" i="16"/>
  <c r="E20" i="16"/>
  <c r="E21" i="16"/>
  <c r="E22" i="16"/>
  <c r="E23" i="16"/>
  <c r="E24" i="16"/>
  <c r="E25" i="16"/>
  <c r="E26" i="16"/>
  <c r="E12" i="16"/>
  <c r="E115" i="5"/>
  <c r="D30" i="16"/>
  <c r="D31" i="16"/>
  <c r="E31" i="16"/>
  <c r="D32" i="16"/>
  <c r="E32" i="16"/>
  <c r="D33" i="16"/>
  <c r="E33" i="16"/>
  <c r="D34" i="16"/>
  <c r="E34" i="16"/>
  <c r="D35" i="16"/>
  <c r="E35" i="16"/>
  <c r="D36" i="16"/>
  <c r="E36" i="16"/>
  <c r="D37" i="16"/>
  <c r="E37" i="16"/>
  <c r="D38" i="16"/>
  <c r="E38" i="16"/>
  <c r="D39" i="16"/>
  <c r="E39" i="16"/>
  <c r="D40" i="16"/>
  <c r="E40" i="16"/>
  <c r="D41" i="16"/>
  <c r="E41" i="16"/>
  <c r="D42" i="16"/>
  <c r="E42" i="16"/>
  <c r="D43" i="16"/>
  <c r="E43" i="16"/>
  <c r="D44" i="16"/>
  <c r="E44" i="16"/>
  <c r="D46" i="16"/>
  <c r="E46" i="16"/>
  <c r="E30" i="16"/>
  <c r="E116" i="5"/>
  <c r="E117" i="5"/>
  <c r="E124" i="5"/>
  <c r="E125" i="5"/>
  <c r="E28" i="5"/>
  <c r="E29" i="5"/>
  <c r="E30" i="5"/>
  <c r="E31" i="5"/>
  <c r="E36" i="5"/>
  <c r="E37" i="5"/>
  <c r="E38" i="5"/>
  <c r="E39" i="5"/>
  <c r="E51" i="5"/>
  <c r="E52" i="5"/>
  <c r="E54" i="5"/>
  <c r="E56" i="5"/>
  <c r="E57" i="5"/>
  <c r="E58" i="5"/>
  <c r="E61" i="5"/>
  <c r="E62" i="5"/>
  <c r="E63" i="5"/>
  <c r="E64" i="5"/>
  <c r="E65" i="5"/>
  <c r="E67" i="5"/>
  <c r="E68" i="5"/>
  <c r="E69" i="5"/>
  <c r="E74" i="5"/>
  <c r="E75" i="5"/>
  <c r="E76" i="5"/>
  <c r="E77" i="5"/>
  <c r="E84" i="5"/>
  <c r="E86" i="5"/>
  <c r="E87" i="5"/>
  <c r="E88" i="5"/>
  <c r="E100" i="5"/>
  <c r="E101" i="5"/>
  <c r="E102" i="5"/>
  <c r="E110" i="5"/>
  <c r="E111" i="5"/>
  <c r="E112" i="5"/>
  <c r="E119" i="5"/>
  <c r="E120" i="5"/>
  <c r="E121" i="5"/>
  <c r="E128" i="5"/>
  <c r="E129" i="5"/>
  <c r="E130" i="5"/>
  <c r="E15" i="5"/>
  <c r="D15" i="5"/>
  <c r="D17" i="5"/>
  <c r="D34" i="5"/>
  <c r="D35" i="5"/>
  <c r="D47" i="5"/>
  <c r="D48" i="5"/>
  <c r="D49" i="5"/>
  <c r="D50" i="5"/>
  <c r="D72" i="5"/>
  <c r="D73" i="5"/>
  <c r="D80" i="5"/>
  <c r="D81" i="5"/>
  <c r="D82" i="5"/>
  <c r="D83" i="5"/>
  <c r="D91" i="5"/>
  <c r="D92" i="5"/>
  <c r="D93" i="5"/>
  <c r="D94" i="5"/>
  <c r="D95" i="5"/>
  <c r="D96" i="5"/>
  <c r="D97" i="5"/>
  <c r="D98" i="5"/>
  <c r="D105" i="5"/>
  <c r="D106" i="5"/>
  <c r="D107" i="5"/>
  <c r="D108" i="5"/>
  <c r="D115" i="5"/>
  <c r="D116" i="5"/>
  <c r="D117" i="5"/>
  <c r="D124" i="5"/>
  <c r="D125" i="5"/>
  <c r="A13" i="5"/>
  <c r="B13" i="5"/>
  <c r="C13" i="5"/>
  <c r="F13" i="5"/>
  <c r="G13" i="5"/>
  <c r="C14" i="5"/>
  <c r="F14" i="5"/>
  <c r="G14" i="5"/>
  <c r="C15" i="5"/>
  <c r="F15" i="5"/>
  <c r="G15" i="5"/>
  <c r="A17" i="5"/>
  <c r="B17" i="5"/>
  <c r="C17" i="5"/>
  <c r="F17" i="5"/>
  <c r="G17" i="5"/>
  <c r="A28" i="5"/>
  <c r="B28" i="5"/>
  <c r="C28" i="5"/>
  <c r="D28" i="5"/>
  <c r="F28" i="5"/>
  <c r="G28" i="5"/>
  <c r="A29" i="5"/>
  <c r="B29" i="5"/>
  <c r="C29" i="5"/>
  <c r="D29" i="5"/>
  <c r="F29" i="5"/>
  <c r="G29" i="5"/>
  <c r="B30" i="5"/>
  <c r="C30" i="5"/>
  <c r="D30" i="5"/>
  <c r="F30" i="5"/>
  <c r="G30" i="5"/>
  <c r="B31" i="5"/>
  <c r="C31" i="5"/>
  <c r="D31" i="5"/>
  <c r="F31" i="5"/>
  <c r="G31" i="5"/>
  <c r="A34" i="5"/>
  <c r="B34" i="5"/>
  <c r="C12" i="9"/>
  <c r="C34" i="5"/>
  <c r="F34" i="5"/>
  <c r="G34" i="5"/>
  <c r="A35" i="5"/>
  <c r="B35" i="5"/>
  <c r="C35" i="5"/>
  <c r="F35" i="5"/>
  <c r="G35" i="5"/>
  <c r="A36" i="5"/>
  <c r="B36" i="5"/>
  <c r="C36" i="5"/>
  <c r="D36" i="5"/>
  <c r="F36" i="5"/>
  <c r="G36" i="5"/>
  <c r="A37" i="5"/>
  <c r="B37" i="5"/>
  <c r="C37" i="5"/>
  <c r="D37" i="5"/>
  <c r="F37" i="5"/>
  <c r="G37" i="5"/>
  <c r="C38" i="5"/>
  <c r="D38" i="5"/>
  <c r="F38" i="5"/>
  <c r="G38" i="5"/>
  <c r="C39" i="5"/>
  <c r="D39" i="5"/>
  <c r="F39" i="5"/>
  <c r="G39" i="5"/>
  <c r="A47" i="5"/>
  <c r="B47" i="5"/>
  <c r="C47" i="5"/>
  <c r="F47" i="5"/>
  <c r="G47" i="5"/>
  <c r="A48" i="5"/>
  <c r="B48" i="5"/>
  <c r="C48" i="5"/>
  <c r="F48" i="5"/>
  <c r="G48" i="5"/>
  <c r="A49" i="5"/>
  <c r="B49" i="5"/>
  <c r="C49" i="5"/>
  <c r="F49" i="5"/>
  <c r="G49" i="5"/>
  <c r="A50" i="5"/>
  <c r="B50" i="5"/>
  <c r="C50" i="5"/>
  <c r="F50" i="5"/>
  <c r="G50" i="5"/>
  <c r="A51" i="5"/>
  <c r="B51" i="5"/>
  <c r="C51" i="5"/>
  <c r="D51" i="5"/>
  <c r="F51" i="5"/>
  <c r="G51" i="5"/>
  <c r="A52" i="5"/>
  <c r="B52" i="5"/>
  <c r="C52" i="5"/>
  <c r="D52" i="5"/>
  <c r="F52" i="5"/>
  <c r="G52" i="5"/>
  <c r="A53" i="5"/>
  <c r="B53" i="5"/>
  <c r="C53" i="5"/>
  <c r="G53" i="5"/>
  <c r="A54" i="5"/>
  <c r="B54" i="5"/>
  <c r="C54" i="5"/>
  <c r="D54" i="5"/>
  <c r="F54" i="5"/>
  <c r="G54" i="5"/>
  <c r="A56" i="5"/>
  <c r="B56" i="5"/>
  <c r="C56" i="5"/>
  <c r="D56" i="5"/>
  <c r="F56" i="5"/>
  <c r="G56" i="5"/>
  <c r="B57" i="5"/>
  <c r="C57" i="5"/>
  <c r="D57" i="5"/>
  <c r="F57" i="5"/>
  <c r="G57" i="5"/>
  <c r="B58" i="5"/>
  <c r="C58" i="5"/>
  <c r="D58" i="5"/>
  <c r="F58" i="5"/>
  <c r="G58" i="5"/>
  <c r="A61" i="5"/>
  <c r="B61" i="5"/>
  <c r="C61" i="5"/>
  <c r="D61" i="5"/>
  <c r="F61" i="5"/>
  <c r="G61" i="5"/>
  <c r="A62" i="5"/>
  <c r="B62" i="5"/>
  <c r="C62" i="5"/>
  <c r="D62" i="5"/>
  <c r="F62" i="5"/>
  <c r="G62" i="5"/>
  <c r="A63" i="5"/>
  <c r="B63" i="5"/>
  <c r="C63" i="5"/>
  <c r="D63" i="5"/>
  <c r="F63" i="5"/>
  <c r="G63" i="5"/>
  <c r="A64" i="5"/>
  <c r="B64" i="5"/>
  <c r="C64" i="5"/>
  <c r="D64" i="5"/>
  <c r="F64" i="5"/>
  <c r="G64" i="5"/>
  <c r="A65" i="5"/>
  <c r="B65" i="5"/>
  <c r="C65" i="5"/>
  <c r="D65" i="5"/>
  <c r="F65" i="5"/>
  <c r="G65" i="5"/>
  <c r="A67" i="5"/>
  <c r="B67" i="5"/>
  <c r="C67" i="5"/>
  <c r="D67" i="5"/>
  <c r="F67" i="5"/>
  <c r="G67" i="5"/>
  <c r="B68" i="5"/>
  <c r="C68" i="5"/>
  <c r="D68" i="5"/>
  <c r="F68" i="5"/>
  <c r="G68" i="5"/>
  <c r="B69" i="5"/>
  <c r="C69" i="5"/>
  <c r="D69" i="5"/>
  <c r="F69" i="5"/>
  <c r="G69" i="5"/>
  <c r="A72" i="5"/>
  <c r="B72" i="5"/>
  <c r="C72" i="5"/>
  <c r="F72" i="5"/>
  <c r="G72" i="5"/>
  <c r="A73" i="5"/>
  <c r="B73" i="5"/>
  <c r="C73" i="5"/>
  <c r="F73" i="5"/>
  <c r="G73" i="5"/>
  <c r="A74" i="5"/>
  <c r="B74" i="5"/>
  <c r="C74" i="5"/>
  <c r="D74" i="5"/>
  <c r="F74" i="5"/>
  <c r="G74" i="5"/>
  <c r="A75" i="5"/>
  <c r="B75" i="5"/>
  <c r="C75" i="5"/>
  <c r="D75" i="5"/>
  <c r="F75" i="5"/>
  <c r="G75" i="5"/>
  <c r="C76" i="5"/>
  <c r="D76" i="5"/>
  <c r="F76" i="5"/>
  <c r="G76" i="5"/>
  <c r="C77" i="5"/>
  <c r="D77" i="5"/>
  <c r="F77" i="5"/>
  <c r="G77" i="5"/>
  <c r="A80" i="5"/>
  <c r="B80" i="5"/>
  <c r="C80" i="5"/>
  <c r="F80" i="5"/>
  <c r="G80" i="5"/>
  <c r="A81" i="5"/>
  <c r="B81" i="5"/>
  <c r="C81" i="5"/>
  <c r="F81" i="5"/>
  <c r="G81" i="5"/>
  <c r="A82" i="5"/>
  <c r="B82" i="5"/>
  <c r="C82" i="5"/>
  <c r="F82" i="5"/>
  <c r="G82" i="5"/>
  <c r="A83" i="5"/>
  <c r="B83" i="5"/>
  <c r="C83" i="5"/>
  <c r="F83" i="5"/>
  <c r="G83" i="5"/>
  <c r="A84" i="5"/>
  <c r="B84" i="5"/>
  <c r="D84" i="5"/>
  <c r="F84" i="5"/>
  <c r="G84" i="5"/>
  <c r="A86" i="5"/>
  <c r="B86" i="5"/>
  <c r="C86" i="5"/>
  <c r="D86" i="5"/>
  <c r="F86" i="5"/>
  <c r="G86" i="5"/>
  <c r="B87" i="5"/>
  <c r="C87" i="5"/>
  <c r="D87" i="5"/>
  <c r="F87" i="5"/>
  <c r="G87" i="5"/>
  <c r="B88" i="5"/>
  <c r="C88" i="5"/>
  <c r="D88" i="5"/>
  <c r="F88" i="5"/>
  <c r="G88" i="5"/>
  <c r="A91" i="5"/>
  <c r="B91" i="5"/>
  <c r="C91" i="5"/>
  <c r="F91" i="5"/>
  <c r="G91" i="5"/>
  <c r="A92" i="5"/>
  <c r="B92" i="5"/>
  <c r="C92" i="5"/>
  <c r="F92" i="5"/>
  <c r="G92" i="5"/>
  <c r="A93" i="5"/>
  <c r="B93" i="5"/>
  <c r="C93" i="5"/>
  <c r="F93" i="5"/>
  <c r="G93" i="5"/>
  <c r="A94" i="5"/>
  <c r="B94" i="5"/>
  <c r="C94" i="5"/>
  <c r="F94" i="5"/>
  <c r="G94" i="5"/>
  <c r="A95" i="5"/>
  <c r="B95" i="5"/>
  <c r="C95" i="5"/>
  <c r="F95" i="5"/>
  <c r="G95" i="5"/>
  <c r="A96" i="5"/>
  <c r="B96" i="5"/>
  <c r="C96" i="5"/>
  <c r="F96" i="5"/>
  <c r="G96" i="5"/>
  <c r="A97" i="5"/>
  <c r="B97" i="5"/>
  <c r="C97" i="5"/>
  <c r="F97" i="5"/>
  <c r="G97" i="5"/>
  <c r="A98" i="5"/>
  <c r="B98" i="5"/>
  <c r="C98" i="5"/>
  <c r="F98" i="5"/>
  <c r="G98" i="5"/>
  <c r="A100" i="5"/>
  <c r="B100" i="5"/>
  <c r="C100" i="5"/>
  <c r="D100" i="5"/>
  <c r="F100" i="5"/>
  <c r="G100" i="5"/>
  <c r="B101" i="5"/>
  <c r="C101" i="5"/>
  <c r="D101" i="5"/>
  <c r="F101" i="5"/>
  <c r="G101" i="5"/>
  <c r="B102" i="5"/>
  <c r="C102" i="5"/>
  <c r="D102" i="5"/>
  <c r="F102" i="5"/>
  <c r="G102" i="5"/>
  <c r="A105" i="5"/>
  <c r="B105" i="5"/>
  <c r="C105" i="5"/>
  <c r="F105" i="5"/>
  <c r="G105" i="5"/>
  <c r="A106" i="5"/>
  <c r="B106" i="5"/>
  <c r="C106" i="5"/>
  <c r="F106" i="5"/>
  <c r="G106" i="5"/>
  <c r="A107" i="5"/>
  <c r="B107" i="5"/>
  <c r="C107" i="5"/>
  <c r="F107" i="5"/>
  <c r="G107" i="5"/>
  <c r="A108" i="5"/>
  <c r="B108" i="5"/>
  <c r="C108" i="5"/>
  <c r="F108" i="5"/>
  <c r="G108" i="5"/>
  <c r="A110" i="5"/>
  <c r="B110" i="5"/>
  <c r="C110" i="5"/>
  <c r="D110" i="5"/>
  <c r="F110" i="5"/>
  <c r="G110" i="5"/>
  <c r="B111" i="5"/>
  <c r="C111" i="5"/>
  <c r="D111" i="5"/>
  <c r="F111" i="5"/>
  <c r="G111" i="5"/>
  <c r="B112" i="5"/>
  <c r="C112" i="5"/>
  <c r="D112" i="5"/>
  <c r="F112" i="5"/>
  <c r="G112" i="5"/>
  <c r="A115" i="5"/>
  <c r="B115" i="5"/>
  <c r="C115" i="5"/>
  <c r="F115" i="5"/>
  <c r="G115" i="5"/>
  <c r="A116" i="5"/>
  <c r="B116" i="5"/>
  <c r="C116" i="5"/>
  <c r="F116" i="5"/>
  <c r="G116" i="5"/>
  <c r="C117" i="5"/>
  <c r="F117" i="5"/>
  <c r="G117" i="5"/>
  <c r="A119" i="5"/>
  <c r="B119" i="5"/>
  <c r="C119" i="5"/>
  <c r="D119" i="5"/>
  <c r="F119" i="5"/>
  <c r="G119" i="5"/>
  <c r="B120" i="5"/>
  <c r="C120" i="5"/>
  <c r="D120" i="5"/>
  <c r="F120" i="5"/>
  <c r="G120" i="5"/>
  <c r="B121" i="5"/>
  <c r="C121" i="5"/>
  <c r="D121" i="5"/>
  <c r="F121" i="5"/>
  <c r="G121" i="5"/>
  <c r="A124" i="5"/>
  <c r="B124" i="5"/>
  <c r="C124" i="5"/>
  <c r="F124" i="5"/>
  <c r="G124" i="5"/>
  <c r="A125" i="5"/>
  <c r="B125" i="5"/>
  <c r="C125" i="5"/>
  <c r="F125" i="5"/>
  <c r="G125" i="5"/>
  <c r="A126" i="5"/>
  <c r="B126" i="5"/>
  <c r="C126" i="5"/>
  <c r="F126" i="5"/>
  <c r="G126" i="5"/>
  <c r="A128" i="5"/>
  <c r="B128" i="5"/>
  <c r="C128" i="5"/>
  <c r="D128" i="5"/>
  <c r="F128" i="5"/>
  <c r="G128" i="5"/>
  <c r="B129" i="5"/>
  <c r="C129" i="5"/>
  <c r="D129" i="5"/>
  <c r="F129" i="5"/>
  <c r="G129" i="5"/>
  <c r="B130" i="5"/>
  <c r="C130" i="5"/>
  <c r="D130" i="5"/>
  <c r="F130" i="5"/>
  <c r="G130" i="5"/>
  <c r="B2" i="20"/>
  <c r="B2" i="18"/>
  <c r="M133" i="5"/>
  <c r="L133" i="5"/>
  <c r="K133" i="5"/>
  <c r="J133" i="5"/>
  <c r="I130" i="5"/>
  <c r="H130" i="5"/>
  <c r="M130" i="5"/>
  <c r="L130" i="5"/>
  <c r="K130" i="5"/>
  <c r="J130" i="5"/>
  <c r="I129" i="5"/>
  <c r="H129" i="5"/>
  <c r="M129" i="5"/>
  <c r="L129" i="5"/>
  <c r="K129" i="5"/>
  <c r="J129" i="5"/>
  <c r="I128" i="5"/>
  <c r="H128" i="5"/>
  <c r="M128" i="5"/>
  <c r="L128" i="5"/>
  <c r="K128" i="5"/>
  <c r="J128" i="5"/>
  <c r="I126" i="5"/>
  <c r="J126" i="5"/>
  <c r="I125" i="5"/>
  <c r="H125" i="5"/>
  <c r="M125" i="5"/>
  <c r="L125" i="5"/>
  <c r="K125" i="5"/>
  <c r="J125" i="5"/>
  <c r="I124" i="5"/>
  <c r="H124" i="5"/>
  <c r="H116" i="5"/>
  <c r="I116" i="5"/>
  <c r="J116" i="5"/>
  <c r="K116" i="5"/>
  <c r="L116" i="5"/>
  <c r="M116" i="5"/>
  <c r="M124" i="5"/>
  <c r="L124" i="5"/>
  <c r="K124" i="5"/>
  <c r="J124" i="5"/>
  <c r="I121" i="5"/>
  <c r="H121" i="5"/>
  <c r="M121" i="5"/>
  <c r="L121" i="5"/>
  <c r="K121" i="5"/>
  <c r="J121" i="5"/>
  <c r="I120" i="5"/>
  <c r="H120" i="5"/>
  <c r="M120" i="5"/>
  <c r="L120" i="5"/>
  <c r="K120" i="5"/>
  <c r="J120" i="5"/>
  <c r="I119" i="5"/>
  <c r="H119" i="5"/>
  <c r="M119" i="5"/>
  <c r="L119" i="5"/>
  <c r="K119" i="5"/>
  <c r="J119" i="5"/>
  <c r="I117" i="5"/>
  <c r="H117" i="5"/>
  <c r="M117" i="5"/>
  <c r="L117" i="5"/>
  <c r="K117" i="5"/>
  <c r="J117" i="5"/>
  <c r="B2" i="17"/>
  <c r="I115" i="5"/>
  <c r="H115" i="5"/>
  <c r="B2" i="16"/>
  <c r="H106" i="5"/>
  <c r="I106" i="5"/>
  <c r="H107" i="5"/>
  <c r="I107" i="5"/>
  <c r="H108" i="5"/>
  <c r="I108" i="5"/>
  <c r="H110" i="5"/>
  <c r="I110" i="5"/>
  <c r="H111" i="5"/>
  <c r="I111" i="5"/>
  <c r="H112" i="5"/>
  <c r="I112" i="5"/>
  <c r="I105" i="5"/>
  <c r="H105" i="5"/>
  <c r="M115" i="5"/>
  <c r="M112" i="5"/>
  <c r="M111" i="5"/>
  <c r="M110" i="5"/>
  <c r="M108" i="5"/>
  <c r="M107" i="5"/>
  <c r="M106" i="5"/>
  <c r="M105" i="5"/>
  <c r="I102" i="5"/>
  <c r="M102" i="5"/>
  <c r="I101" i="5"/>
  <c r="M101" i="5"/>
  <c r="I100" i="5"/>
  <c r="H91" i="5"/>
  <c r="H14" i="13"/>
  <c r="H92" i="5"/>
  <c r="H93" i="5"/>
  <c r="H94" i="5"/>
  <c r="H95" i="5"/>
  <c r="H96" i="5"/>
  <c r="H97" i="5"/>
  <c r="H98" i="5"/>
  <c r="H100" i="5"/>
  <c r="M100" i="5"/>
  <c r="I98" i="5"/>
  <c r="M98" i="5"/>
  <c r="I97" i="5"/>
  <c r="M97" i="5"/>
  <c r="I96" i="5"/>
  <c r="M96" i="5"/>
  <c r="I95" i="5"/>
  <c r="M95" i="5"/>
  <c r="I94" i="5"/>
  <c r="M94" i="5"/>
  <c r="I93" i="5"/>
  <c r="M93" i="5"/>
  <c r="I88" i="5"/>
  <c r="M88" i="5"/>
  <c r="I87" i="5"/>
  <c r="M87" i="5"/>
  <c r="I86" i="5"/>
  <c r="H80" i="5"/>
  <c r="H81" i="5"/>
  <c r="H82" i="5"/>
  <c r="H83" i="5"/>
  <c r="H84" i="5"/>
  <c r="H86" i="5"/>
  <c r="M86" i="5"/>
  <c r="I84" i="5"/>
  <c r="M84" i="5"/>
  <c r="I83" i="5"/>
  <c r="M83" i="5"/>
  <c r="I82" i="5"/>
  <c r="M82" i="5"/>
  <c r="I81" i="5"/>
  <c r="M81" i="5"/>
  <c r="I80" i="5"/>
  <c r="M80" i="5"/>
  <c r="I77" i="5"/>
  <c r="M77" i="5"/>
  <c r="I76" i="5"/>
  <c r="M76" i="5"/>
  <c r="H72" i="5"/>
  <c r="H73" i="5"/>
  <c r="H74" i="5"/>
  <c r="H75" i="5"/>
  <c r="I75" i="5"/>
  <c r="M75" i="5"/>
  <c r="I74" i="5"/>
  <c r="M74" i="5"/>
  <c r="I73" i="5"/>
  <c r="M73" i="5"/>
  <c r="I12" i="11"/>
  <c r="I72" i="5"/>
  <c r="M72" i="5"/>
  <c r="I69" i="5"/>
  <c r="M69" i="5"/>
  <c r="I68" i="5"/>
  <c r="M68" i="5"/>
  <c r="I67" i="5"/>
  <c r="H61" i="5"/>
  <c r="H62" i="5"/>
  <c r="H63" i="5"/>
  <c r="H64" i="5"/>
  <c r="H67" i="5"/>
  <c r="M67" i="5"/>
  <c r="I65" i="5"/>
  <c r="H65" i="5"/>
  <c r="M65" i="5"/>
  <c r="I64" i="5"/>
  <c r="M64" i="5"/>
  <c r="I63" i="5"/>
  <c r="M63" i="5"/>
  <c r="I62" i="5"/>
  <c r="M62" i="5"/>
  <c r="I61" i="5"/>
  <c r="M61" i="5"/>
  <c r="I58" i="5"/>
  <c r="M58" i="5"/>
  <c r="I57" i="5"/>
  <c r="M57" i="5"/>
  <c r="I56" i="5"/>
  <c r="H47" i="5"/>
  <c r="H48" i="5"/>
  <c r="H49" i="5"/>
  <c r="H50" i="5"/>
  <c r="H51" i="5"/>
  <c r="H52" i="5"/>
  <c r="H54" i="5"/>
  <c r="H56" i="5"/>
  <c r="M56" i="5"/>
  <c r="I54" i="5"/>
  <c r="M54" i="5"/>
  <c r="I52" i="5"/>
  <c r="M52" i="5"/>
  <c r="I51" i="5"/>
  <c r="M51" i="5"/>
  <c r="I50" i="5"/>
  <c r="M50" i="5"/>
  <c r="I49" i="5"/>
  <c r="M49" i="5"/>
  <c r="I48" i="5"/>
  <c r="M48" i="5"/>
  <c r="I47" i="5"/>
  <c r="M47" i="5"/>
  <c r="I39" i="5"/>
  <c r="M39" i="5"/>
  <c r="I38" i="5"/>
  <c r="M38" i="5"/>
  <c r="I37" i="5"/>
  <c r="H34" i="5"/>
  <c r="H35" i="5"/>
  <c r="H36" i="5"/>
  <c r="H37" i="5"/>
  <c r="M37" i="5"/>
  <c r="I36" i="5"/>
  <c r="M36" i="5"/>
  <c r="I35" i="5"/>
  <c r="M35" i="5"/>
  <c r="I34" i="5"/>
  <c r="M34" i="5"/>
  <c r="I31" i="5"/>
  <c r="M31" i="5"/>
  <c r="I30" i="5"/>
  <c r="M30" i="5"/>
  <c r="I29" i="5"/>
  <c r="H13" i="5"/>
  <c r="H14" i="5"/>
  <c r="H15" i="5"/>
  <c r="H17" i="5"/>
  <c r="H28" i="5"/>
  <c r="H29" i="5"/>
  <c r="M29" i="5"/>
  <c r="I28" i="5"/>
  <c r="M28" i="5"/>
  <c r="I17" i="5"/>
  <c r="M17" i="5"/>
  <c r="I15" i="5"/>
  <c r="M15" i="5"/>
  <c r="I14" i="5"/>
  <c r="M14" i="5"/>
  <c r="J115" i="5"/>
  <c r="J112" i="5"/>
  <c r="J111" i="5"/>
  <c r="J110" i="5"/>
  <c r="J108" i="5"/>
  <c r="J107" i="5"/>
  <c r="J106" i="5"/>
  <c r="J105" i="5"/>
  <c r="J102" i="5"/>
  <c r="J101" i="5"/>
  <c r="J100" i="5"/>
  <c r="J98" i="5"/>
  <c r="J97" i="5"/>
  <c r="J96" i="5"/>
  <c r="J95" i="5"/>
  <c r="J94" i="5"/>
  <c r="J93" i="5"/>
  <c r="J88" i="5"/>
  <c r="J87" i="5"/>
  <c r="J86" i="5"/>
  <c r="J84" i="5"/>
  <c r="J83" i="5"/>
  <c r="J82" i="5"/>
  <c r="J81" i="5"/>
  <c r="J80" i="5"/>
  <c r="J77" i="5"/>
  <c r="J76" i="5"/>
  <c r="J75" i="5"/>
  <c r="J74" i="5"/>
  <c r="J73" i="5"/>
  <c r="J72" i="5"/>
  <c r="J69" i="5"/>
  <c r="J68" i="5"/>
  <c r="J67" i="5"/>
  <c r="J65" i="5"/>
  <c r="J64" i="5"/>
  <c r="J63" i="5"/>
  <c r="J62" i="5"/>
  <c r="J61" i="5"/>
  <c r="J58" i="5"/>
  <c r="J57" i="5"/>
  <c r="J56" i="5"/>
  <c r="J54" i="5"/>
  <c r="J52" i="5"/>
  <c r="J51" i="5"/>
  <c r="J50" i="5"/>
  <c r="J49" i="5"/>
  <c r="J48" i="5"/>
  <c r="J47" i="5"/>
  <c r="J39" i="5"/>
  <c r="J38" i="5"/>
  <c r="J37" i="5"/>
  <c r="J36" i="5"/>
  <c r="J35" i="5"/>
  <c r="J34" i="5"/>
  <c r="J31" i="5"/>
  <c r="J30" i="5"/>
  <c r="J29" i="5"/>
  <c r="J28" i="5"/>
  <c r="J17" i="5"/>
  <c r="J15" i="5"/>
  <c r="J14" i="5"/>
  <c r="J13" i="5"/>
  <c r="I13" i="5"/>
  <c r="M13" i="5"/>
  <c r="L84" i="5"/>
  <c r="K115" i="5"/>
  <c r="K112" i="5"/>
  <c r="K111" i="5"/>
  <c r="K110" i="5"/>
  <c r="K108" i="5"/>
  <c r="K107" i="5"/>
  <c r="K106" i="5"/>
  <c r="K105" i="5"/>
  <c r="K102" i="5"/>
  <c r="K101" i="5"/>
  <c r="K100" i="5"/>
  <c r="K98" i="5"/>
  <c r="K97" i="5"/>
  <c r="K96" i="5"/>
  <c r="K95" i="5"/>
  <c r="K94" i="5"/>
  <c r="K93" i="5"/>
  <c r="K88" i="5"/>
  <c r="K87" i="5"/>
  <c r="K86" i="5"/>
  <c r="K84" i="5"/>
  <c r="K83" i="5"/>
  <c r="K82" i="5"/>
  <c r="K81" i="5"/>
  <c r="K80" i="5"/>
  <c r="K77" i="5"/>
  <c r="K76" i="5"/>
  <c r="K75" i="5"/>
  <c r="K74" i="5"/>
  <c r="K73" i="5"/>
  <c r="K72" i="5"/>
  <c r="K69" i="5"/>
  <c r="K68" i="5"/>
  <c r="K67" i="5"/>
  <c r="K65" i="5"/>
  <c r="K64" i="5"/>
  <c r="K63" i="5"/>
  <c r="K62" i="5"/>
  <c r="K61" i="5"/>
  <c r="K58" i="5"/>
  <c r="K57" i="5"/>
  <c r="K56" i="5"/>
  <c r="K54" i="5"/>
  <c r="K52" i="5"/>
  <c r="K51" i="5"/>
  <c r="K50" i="5"/>
  <c r="K49" i="5"/>
  <c r="K48" i="5"/>
  <c r="K47" i="5"/>
  <c r="K39" i="5"/>
  <c r="K38" i="5"/>
  <c r="K37" i="5"/>
  <c r="K36" i="5"/>
  <c r="K35" i="5"/>
  <c r="K34" i="5"/>
  <c r="K31" i="5"/>
  <c r="K30" i="5"/>
  <c r="K29" i="5"/>
  <c r="K28" i="5"/>
  <c r="K17" i="5"/>
  <c r="K14" i="5"/>
  <c r="K13" i="5"/>
  <c r="B2" i="14"/>
  <c r="J92" i="5"/>
  <c r="K92" i="5"/>
  <c r="I14" i="13"/>
  <c r="I92" i="5"/>
  <c r="L92" i="5"/>
  <c r="M92" i="5"/>
  <c r="L93" i="5"/>
  <c r="I20" i="13"/>
  <c r="L94" i="5"/>
  <c r="L95" i="5"/>
  <c r="L96" i="5"/>
  <c r="L97" i="5"/>
  <c r="L98" i="5"/>
  <c r="L100" i="5"/>
  <c r="L101" i="5"/>
  <c r="L102" i="5"/>
  <c r="L105" i="5"/>
  <c r="L106" i="5"/>
  <c r="L107" i="5"/>
  <c r="L108" i="5"/>
  <c r="L110" i="5"/>
  <c r="L111" i="5"/>
  <c r="L112" i="5"/>
  <c r="L115" i="5"/>
  <c r="J91" i="5"/>
  <c r="I91" i="5"/>
  <c r="B2" i="13"/>
  <c r="I15" i="10"/>
  <c r="I23" i="10"/>
  <c r="I14" i="12"/>
  <c r="I19" i="12"/>
  <c r="I23" i="12"/>
  <c r="D59" i="4"/>
  <c r="D68" i="4"/>
  <c r="D69" i="4"/>
  <c r="D71" i="4"/>
  <c r="D73" i="4"/>
  <c r="H16" i="10"/>
  <c r="H17" i="10"/>
  <c r="H15" i="10"/>
  <c r="H23" i="10"/>
  <c r="H23" i="12"/>
  <c r="C71" i="4"/>
  <c r="C73" i="4"/>
  <c r="F73" i="4"/>
  <c r="F71" i="4"/>
  <c r="F68" i="4"/>
  <c r="F67" i="4"/>
  <c r="C56" i="4"/>
  <c r="F56" i="4"/>
  <c r="D55" i="4"/>
  <c r="F55" i="4"/>
  <c r="L80" i="5"/>
  <c r="L81" i="5"/>
  <c r="L82" i="5"/>
  <c r="L83" i="5"/>
  <c r="L86" i="5"/>
  <c r="L87" i="5"/>
  <c r="L88" i="5"/>
  <c r="K91" i="5"/>
  <c r="L91" i="5"/>
  <c r="M91" i="5"/>
  <c r="B2" i="12"/>
  <c r="L65" i="5"/>
  <c r="L76" i="5"/>
  <c r="L77" i="5"/>
  <c r="L75" i="5"/>
  <c r="L74" i="5"/>
  <c r="L73" i="5"/>
  <c r="L72" i="5"/>
  <c r="E73" i="4"/>
  <c r="H73" i="4"/>
  <c r="G73" i="4"/>
  <c r="E71" i="4"/>
  <c r="H71" i="4"/>
  <c r="G71" i="4"/>
  <c r="G69" i="4"/>
  <c r="E68" i="4"/>
  <c r="H68" i="4"/>
  <c r="G68" i="4"/>
  <c r="E67" i="4"/>
  <c r="H67" i="4"/>
  <c r="G67" i="4"/>
  <c r="G59" i="4"/>
  <c r="A2" i="4"/>
  <c r="B2" i="11"/>
  <c r="L69" i="5"/>
  <c r="L68" i="5"/>
  <c r="L67" i="5"/>
  <c r="L64" i="5"/>
  <c r="L63" i="5"/>
  <c r="L62" i="5"/>
  <c r="L61" i="5"/>
  <c r="E55" i="4"/>
  <c r="B2" i="10"/>
  <c r="L39" i="5"/>
  <c r="L38" i="5"/>
  <c r="L37" i="5"/>
  <c r="L36" i="5"/>
  <c r="L35" i="5"/>
  <c r="L34" i="5"/>
  <c r="B2" i="9"/>
  <c r="L14" i="5"/>
  <c r="L15" i="5"/>
  <c r="L17" i="5"/>
  <c r="L28" i="5"/>
  <c r="L29" i="5"/>
  <c r="L30" i="5"/>
  <c r="L31" i="5"/>
  <c r="L47" i="5"/>
  <c r="L48" i="5"/>
  <c r="L49" i="5"/>
  <c r="L50" i="5"/>
  <c r="L51" i="5"/>
  <c r="L52" i="5"/>
  <c r="L54" i="5"/>
  <c r="L56" i="5"/>
  <c r="L57" i="5"/>
  <c r="L58" i="5"/>
  <c r="L13" i="5"/>
  <c r="E56" i="4"/>
  <c r="B2" i="8"/>
  <c r="B2" i="7"/>
  <c r="I15" i="7"/>
  <c r="A4" i="4"/>
  <c r="D4" i="2"/>
  <c r="A3" i="4"/>
  <c r="K15" i="5"/>
  <c r="K126" i="5"/>
  <c r="D23" i="5"/>
  <c r="A13" i="2"/>
  <c r="E14" i="7"/>
  <c r="D14" i="7"/>
  <c r="C57" i="4"/>
  <c r="D57" i="4"/>
  <c r="E57" i="4"/>
  <c r="C61" i="4"/>
  <c r="D61" i="4"/>
  <c r="E61" i="4"/>
  <c r="C62" i="4"/>
  <c r="C63" i="4"/>
  <c r="D63" i="4"/>
  <c r="E63" i="4"/>
  <c r="D62" i="4"/>
  <c r="E62" i="4"/>
  <c r="C64" i="4"/>
  <c r="D64" i="4"/>
  <c r="E64" i="4"/>
  <c r="H126" i="5"/>
  <c r="C59" i="4"/>
  <c r="E59" i="4"/>
  <c r="H59" i="4"/>
  <c r="D58" i="4"/>
  <c r="G58" i="4"/>
  <c r="C58" i="4"/>
  <c r="E58" i="4"/>
  <c r="H58" i="4"/>
  <c r="D65" i="4"/>
  <c r="G65" i="4"/>
  <c r="C65" i="4"/>
  <c r="E65" i="4"/>
  <c r="H65" i="4"/>
  <c r="C69" i="4"/>
  <c r="E69" i="4"/>
  <c r="H69" i="4"/>
  <c r="D72" i="4"/>
  <c r="G72" i="4"/>
  <c r="C72" i="4"/>
  <c r="E72" i="4"/>
  <c r="H72" i="4"/>
  <c r="D74" i="4"/>
  <c r="G74" i="4"/>
  <c r="C74" i="4"/>
  <c r="E74" i="4"/>
  <c r="H74" i="4"/>
  <c r="F57" i="4"/>
  <c r="F58" i="4"/>
  <c r="F59" i="4"/>
  <c r="F61" i="4"/>
  <c r="F62" i="4"/>
  <c r="F63" i="4"/>
  <c r="F64" i="4"/>
  <c r="F65" i="4"/>
  <c r="F69" i="4"/>
  <c r="F72" i="4"/>
  <c r="F74" i="4"/>
  <c r="L126" i="5"/>
  <c r="M126" i="5"/>
  <c r="H46" i="21"/>
</calcChain>
</file>

<file path=xl/sharedStrings.xml><?xml version="1.0" encoding="utf-8"?>
<sst xmlns="http://schemas.openxmlformats.org/spreadsheetml/2006/main" count="789" uniqueCount="387">
  <si>
    <t>Scope of Work</t>
  </si>
  <si>
    <t>Project type (SFD, Duplex, etc.</t>
  </si>
  <si>
    <t>Single-family house</t>
  </si>
  <si>
    <t>for</t>
  </si>
  <si>
    <t>Address</t>
  </si>
  <si>
    <t>expected to start on or about</t>
  </si>
  <si>
    <t>Texas</t>
  </si>
  <si>
    <t>and run through</t>
  </si>
  <si>
    <t>Project Summary</t>
  </si>
  <si>
    <t>square feet</t>
  </si>
  <si>
    <t>Contractors selected to implement this project must have the following qualities:</t>
  </si>
  <si>
    <t>➢ Saftey</t>
  </si>
  <si>
    <t>➢ Speed with efficiency</t>
  </si>
  <si>
    <t>➢ Cleanliness of job site</t>
  </si>
  <si>
    <t>➢ A professional, well-finished product</t>
  </si>
  <si>
    <t>All contractors and subcontractors on this project must be fully licensed, bonded, and insured.</t>
  </si>
  <si>
    <t>Hermit Haus Redevelopment, LLC does not directly pick up, deliver,  install, any materials. Any reference in  this document to Hermit Haus Redevelopment, LLC providing and/or installing a fixture, finish, or material means that either the vendor or the contractor is responsible for the delivery of that material or coordination of the installation.</t>
  </si>
  <si>
    <t>Before inspection of the property for the final punch list, the house must be prepped with a thorough cleaning of all windows and floors to the satisfaction of Hermit Haus Redevelopment, LLC.</t>
  </si>
  <si>
    <t>The project is to be completed from the outside in.  Quotes  must include all labor and materials, including hauling and removal of unwanted and unused construction debris. Please email your quotes to info@hermithaus.com</t>
  </si>
  <si>
    <t>Bids must be submitted using this document. Hermit Haus Redevelopment will not honor any other document. Any changes to this document must be agreed to by both the contractor and Hermit Hause management.</t>
  </si>
  <si>
    <t>Contractor Signature:</t>
  </si>
  <si>
    <t>Contractor Name:</t>
  </si>
  <si>
    <t>Hermit Haus Redevelopment, LLC:</t>
  </si>
  <si>
    <t>Date:</t>
  </si>
  <si>
    <t>Tracking Data</t>
  </si>
  <si>
    <t>Element</t>
  </si>
  <si>
    <t>Planned</t>
  </si>
  <si>
    <t>Actual</t>
  </si>
  <si>
    <t>Variance</t>
  </si>
  <si>
    <t>Variance %</t>
  </si>
  <si>
    <t>x/sf</t>
  </si>
  <si>
    <t>Variance/Sf</t>
  </si>
  <si>
    <t>Purchased</t>
  </si>
  <si>
    <t>Start Date</t>
  </si>
  <si>
    <t>End Date</t>
  </si>
  <si>
    <t>Duration</t>
  </si>
  <si>
    <t>Budget</t>
  </si>
  <si>
    <t>Staged</t>
  </si>
  <si>
    <t>Listed</t>
  </si>
  <si>
    <t>First Contract</t>
  </si>
  <si>
    <t>Sale Closed</t>
  </si>
  <si>
    <t>Held</t>
  </si>
  <si>
    <t>Purchase $</t>
  </si>
  <si>
    <t>Sale $</t>
  </si>
  <si>
    <t>Gross Profit</t>
  </si>
  <si>
    <t>Commissions</t>
  </si>
  <si>
    <t>Carrying Costs</t>
  </si>
  <si>
    <t>Closing Costs</t>
  </si>
  <si>
    <t>NOI</t>
  </si>
  <si>
    <t>Exterior Demo and General Work</t>
  </si>
  <si>
    <t>Project:</t>
  </si>
  <si>
    <t>Contractor:</t>
  </si>
  <si>
    <t>Remove all trash from front and back yards. Remove dead trees. Other demo work to be done.</t>
  </si>
  <si>
    <t>Phase</t>
  </si>
  <si>
    <t>Contractor</t>
  </si>
  <si>
    <t>Milestone/Benchmark</t>
  </si>
  <si>
    <t>Scheduled Complete</t>
  </si>
  <si>
    <t>Actual Complete</t>
  </si>
  <si>
    <t>Payment Date</t>
  </si>
  <si>
    <t>Budgeted Amount</t>
  </si>
  <si>
    <t>Payment Amount</t>
  </si>
  <si>
    <t>Total Dumpster</t>
  </si>
  <si>
    <t>Yard</t>
  </si>
  <si>
    <t>Out for bid</t>
  </si>
  <si>
    <t>Remove debris.</t>
  </si>
  <si>
    <t>Other</t>
  </si>
  <si>
    <t>Contingency</t>
  </si>
  <si>
    <t>Other external demolition</t>
  </si>
  <si>
    <t>Changes</t>
  </si>
  <si>
    <t>TBD</t>
  </si>
  <si>
    <t>Change order 1</t>
  </si>
  <si>
    <t>Change order 2</t>
  </si>
  <si>
    <t>Change order 3</t>
  </si>
  <si>
    <t>Roof and Attic</t>
  </si>
  <si>
    <t>Repair roof and reseal vent pipes and other roof piercings as needed.</t>
  </si>
  <si>
    <t>Remove all debris and trash from site.</t>
  </si>
  <si>
    <t>Materials will be included in bid and paid on completion.</t>
  </si>
  <si>
    <t>Roof</t>
  </si>
  <si>
    <t>Roofer</t>
  </si>
  <si>
    <t>Match shingles to existing roof.</t>
  </si>
  <si>
    <t>Repair decking as needed.</t>
  </si>
  <si>
    <t>Reseal all vent pipes and other protrusions through the roof.</t>
  </si>
  <si>
    <t>Paint pipes and vents to match roof.</t>
  </si>
  <si>
    <t>Remove and replace roof.</t>
  </si>
  <si>
    <t>High-quality x color shingles.</t>
  </si>
  <si>
    <t>Galvanized metal valleys, etc.</t>
  </si>
  <si>
    <t>Ridge vents</t>
  </si>
  <si>
    <t>Seal all vent pipes and other protrusions through the roof.</t>
  </si>
  <si>
    <t>Attic</t>
  </si>
  <si>
    <t>Out for Bid</t>
  </si>
  <si>
    <t>Miscellaneous attic work</t>
  </si>
  <si>
    <t>Replace insulation as needed.</t>
  </si>
  <si>
    <t>Remove rodent nests and repair access.</t>
  </si>
  <si>
    <t>Building Exterior</t>
  </si>
  <si>
    <t>Repair facia, soffit and trim. Repair building siding and brickwork. Replace entry and exit doors and windows. Replace exterior lighting.</t>
  </si>
  <si>
    <t>Add or repair gutters.</t>
  </si>
  <si>
    <t>Add or repair purgola and decking.</t>
  </si>
  <si>
    <t>Facia, soffit, and trim</t>
  </si>
  <si>
    <t>Repair all damaged facia, soffit, and trim, including trim around windows.</t>
  </si>
  <si>
    <t>Siding</t>
  </si>
  <si>
    <t>Replace damaged siding and install 1x4" trim along bottom</t>
  </si>
  <si>
    <t>Gutters</t>
  </si>
  <si>
    <t>Replace or install extruded gutters and downspouts.</t>
  </si>
  <si>
    <t>Gutters must be extruded on site, not pieced together.</t>
  </si>
  <si>
    <t>Drains must carry water at least four feet from building.</t>
  </si>
  <si>
    <t>Paint</t>
  </si>
  <si>
    <t>Deck</t>
  </si>
  <si>
    <t>Repair or add deck to back of the house</t>
  </si>
  <si>
    <t>Deck design per attached document</t>
  </si>
  <si>
    <t>Deck stain code:</t>
  </si>
  <si>
    <t>Pergola</t>
  </si>
  <si>
    <t>Repair or add Pergola to back of the house</t>
  </si>
  <si>
    <t>Pergola design per attached document</t>
  </si>
  <si>
    <t>Pergola stain code:</t>
  </si>
  <si>
    <t>Windows</t>
  </si>
  <si>
    <t>Use high-quality double paned windows</t>
  </si>
  <si>
    <t>Window 6</t>
  </si>
  <si>
    <t>Landscaping</t>
  </si>
  <si>
    <t>Landscaper</t>
  </si>
  <si>
    <t>Reseed or resod front and back yards</t>
  </si>
  <si>
    <t>Plant shrubs and flowers.</t>
  </si>
  <si>
    <t>Lawn</t>
  </si>
  <si>
    <t>Reseed or resod front and back lawns.</t>
  </si>
  <si>
    <t>Type of grass</t>
  </si>
  <si>
    <t>Shrubs and trees</t>
  </si>
  <si>
    <t>Plant shrubs and trees in front and back yards</t>
  </si>
  <si>
    <t>5 drought-tollerant shrubs up to $15 ea</t>
  </si>
  <si>
    <t>Tree 1</t>
  </si>
  <si>
    <t>Tree 2</t>
  </si>
  <si>
    <t>Tree 3</t>
  </si>
  <si>
    <t>Labor</t>
  </si>
  <si>
    <t>Flower beds</t>
  </si>
  <si>
    <t>Out for Bids</t>
  </si>
  <si>
    <t>Plant flowers in beds in front and back of the house</t>
  </si>
  <si>
    <t>Front Flower beds to $100</t>
  </si>
  <si>
    <t>Back Flower Beds to $50</t>
  </si>
  <si>
    <t>Dtainage</t>
  </si>
  <si>
    <t>Fencing</t>
  </si>
  <si>
    <t>Replace or repair fence around the back yard.</t>
  </si>
  <si>
    <t>6"x.5"x6' treated pine pickets, standard</t>
  </si>
  <si>
    <t>4x4 treated pine posts</t>
  </si>
  <si>
    <t>2x4 treated pine rails</t>
  </si>
  <si>
    <t>Do not stain or paint</t>
  </si>
  <si>
    <t>Interior Demolition</t>
  </si>
  <si>
    <t>Lead Contractor</t>
  </si>
  <si>
    <t>Planned Demo</t>
  </si>
  <si>
    <t>Planned demolition</t>
  </si>
  <si>
    <t>Remove all trash from interior of the house</t>
  </si>
  <si>
    <t>Remove all kitchen appliances</t>
  </si>
  <si>
    <t>Remove all flooring, including carpets, carpet stretchers, tile, and laminates.</t>
  </si>
  <si>
    <t>Final cleanup</t>
  </si>
  <si>
    <t>Ceilings</t>
  </si>
  <si>
    <t>Remove all popcorn from ceilings</t>
  </si>
  <si>
    <t>General Plumbing</t>
  </si>
  <si>
    <t>Plumber</t>
  </si>
  <si>
    <t>License #</t>
  </si>
  <si>
    <t>Bring all plumbing to current code. Pull permits as needed.</t>
  </si>
  <si>
    <t>See Kitchen and Bathrooms for additional work.</t>
  </si>
  <si>
    <t>Permits</t>
  </si>
  <si>
    <t>Pull permits as needed to complete work described below.</t>
  </si>
  <si>
    <t>Water heater</t>
  </si>
  <si>
    <t>Water heater and installation supplies.</t>
  </si>
  <si>
    <t>Bring to current code.</t>
  </si>
  <si>
    <t>Where needed, replace water lines with PEX</t>
  </si>
  <si>
    <t>Exterior</t>
  </si>
  <si>
    <t>Out for bids</t>
  </si>
  <si>
    <t>Replace all exterior faucets.</t>
  </si>
  <si>
    <t>x number of faucets.</t>
  </si>
  <si>
    <t>Standard or Quarter Turn faucets</t>
  </si>
  <si>
    <t>Misc.</t>
  </si>
  <si>
    <t>Miscellaneous work immediately following demolition.</t>
  </si>
  <si>
    <t>Install new angle stops on all water lines.</t>
  </si>
  <si>
    <t xml:space="preserve">Install Pro-Flex gas lines at all gas feed equipment (water heater, range, furnace, etc.). </t>
  </si>
  <si>
    <t xml:space="preserve">Check all drain lines and vents. Repair or replace as needed.  </t>
  </si>
  <si>
    <t xml:space="preserve">Install water line for refrigerator (regardless of fridge type). </t>
  </si>
  <si>
    <t xml:space="preserve">Ensure there is a pressure regulator or install one if there isn't one and make sure the water pressure is between 60-90 PSI.  </t>
  </si>
  <si>
    <t>Kitchen and Baths</t>
  </si>
  <si>
    <t>See kitchen and bathroom pages for a description of all work to be done.</t>
  </si>
  <si>
    <t>Electrical</t>
  </si>
  <si>
    <t>Electrician</t>
  </si>
  <si>
    <t>Bring all electrical to current code. Pull permits as needed.</t>
  </si>
  <si>
    <t>Service Connect</t>
  </si>
  <si>
    <t>Bring electrical service connect to code.</t>
  </si>
  <si>
    <t>Full service weatherhead, riser, feeder, meter socket, panel, breakers, grounding, and permits</t>
  </si>
  <si>
    <t>Pull new circuits as required.</t>
  </si>
  <si>
    <t>See the sections on kitchen and bathrooms for additional information.</t>
  </si>
  <si>
    <t>Misc. Electrical</t>
  </si>
  <si>
    <t>Fix various code and esthetic issues, including all listed in Inspection Report.</t>
  </si>
  <si>
    <t>Replace all swtiches and outlets with white decore electrical outlets and switches and ensure proper grounding</t>
  </si>
  <si>
    <t xml:space="preserve">Replace all GFCI outlets </t>
  </si>
  <si>
    <t>Repair any open junction points in attic, garage, walls, or crawlspaces.</t>
  </si>
  <si>
    <t>Fixtures</t>
  </si>
  <si>
    <t>Replace all light fixtures</t>
  </si>
  <si>
    <t>Chandelier in dining area</t>
  </si>
  <si>
    <t xml:space="preserve">Exterior </t>
  </si>
  <si>
    <t>Description of fixtures</t>
  </si>
  <si>
    <t>Ceiling Fans</t>
  </si>
  <si>
    <t>Living room</t>
  </si>
  <si>
    <t>Master bedroom</t>
  </si>
  <si>
    <t>Guest bedroom 1</t>
  </si>
  <si>
    <t>Guest bedroom 2</t>
  </si>
  <si>
    <t>Smoke &amp; CO2</t>
  </si>
  <si>
    <t>Install smoke detectors and CO2 detectors as required by code.</t>
  </si>
  <si>
    <t>Payment Schedule</t>
  </si>
  <si>
    <t>Exhibit B</t>
  </si>
  <si>
    <t>All payments will be made on the Friday following completion of the work described herein. Completion occurs with the work is finished to code and accepted by Hermit Haus Redevelopment by Wednesday of the week to be paid.  Date-based payments are expressly denied by accepting work from Hermit Haus Redevelopment.</t>
  </si>
  <si>
    <t>Completion Variance</t>
  </si>
  <si>
    <t>Completion Variance %</t>
  </si>
  <si>
    <t>Budget Variance</t>
  </si>
  <si>
    <t>Budget Variance %</t>
  </si>
  <si>
    <t>Interior Demo</t>
  </si>
  <si>
    <t>Kitchen and bathroom plumbing to be paid under those line items.</t>
  </si>
  <si>
    <t>HVAC</t>
  </si>
  <si>
    <t>Test and Service</t>
  </si>
  <si>
    <t>Test and service existing HVAC. Make recommendations for repair/replacement with justification. Cost will be applied to further work, if approved.</t>
  </si>
  <si>
    <t>Duct work</t>
  </si>
  <si>
    <t>Demo any existing ductwork and replace to current code.</t>
  </si>
  <si>
    <t>Mechanicals</t>
  </si>
  <si>
    <t>Replace existing mechanicals with high-efficiency equipment and programable thermostats</t>
  </si>
  <si>
    <t>Inside forced air unit 1</t>
  </si>
  <si>
    <t>Outside Compressor 1</t>
  </si>
  <si>
    <t>Inside forced air unit 2</t>
  </si>
  <si>
    <t>Outside Compressor 2</t>
  </si>
  <si>
    <t>Inspect current HVAC system and service if warranted. If additional trips are required to service or replace the HVAC system, cost of the initial trip will be rolled into the subsequent bid.</t>
  </si>
  <si>
    <t>Replace any damaged drywall and install drywall in new construction areas as needed.</t>
  </si>
  <si>
    <t>Tape and float all installation and repairs.</t>
  </si>
  <si>
    <t>Dry wall</t>
  </si>
  <si>
    <t>Kitchen</t>
  </si>
  <si>
    <t>Living Room</t>
  </si>
  <si>
    <t>Laundry Room</t>
  </si>
  <si>
    <t>Dining Room</t>
  </si>
  <si>
    <t>Second Living Room</t>
  </si>
  <si>
    <t>Master Suite</t>
  </si>
  <si>
    <t>Guest Bath 1</t>
  </si>
  <si>
    <t>Guest Bath 2</t>
  </si>
  <si>
    <t>Guest Bath 3</t>
  </si>
  <si>
    <t>Guest Bath 4</t>
  </si>
  <si>
    <t>Install or repair and tape/float drywall in the following areas</t>
  </si>
  <si>
    <t>Bedroom 2</t>
  </si>
  <si>
    <t>Bedroom 3</t>
  </si>
  <si>
    <t>Bedroom 4</t>
  </si>
  <si>
    <t>Bedroom 5</t>
  </si>
  <si>
    <t>Bonus Room</t>
  </si>
  <si>
    <t>Walls and Ceilings</t>
  </si>
  <si>
    <t>Walls and Cilings</t>
  </si>
  <si>
    <t>Trim</t>
  </si>
  <si>
    <t>Interior</t>
  </si>
  <si>
    <t xml:space="preserve">Touch up all interior surfaces </t>
  </si>
  <si>
    <t>Touchup</t>
  </si>
  <si>
    <t>Paint interior and exterior of the house with the specified paint colors.</t>
  </si>
  <si>
    <t>Leave excess paint in the appropriate room's closet</t>
  </si>
  <si>
    <t>Final touchup near the end of the project</t>
  </si>
  <si>
    <t>Paint each room the color(s) specified for wall/trim/ accent. Paint ceilings white unless otherwise specified</t>
  </si>
  <si>
    <t>Install kitchen cabinets, countertops, fixtures, lighting, and plumbing to current code.</t>
  </si>
  <si>
    <t>Flooring</t>
  </si>
  <si>
    <t>Install or repair flooring and do any repairs needed for proper installation.</t>
  </si>
  <si>
    <t>Bedroom 2 - Carpet</t>
  </si>
  <si>
    <t>Bedroom 3 - Carpet</t>
  </si>
  <si>
    <t>Bedroom 4 - Carpet</t>
  </si>
  <si>
    <t>Bedroom 5 - Carpet</t>
  </si>
  <si>
    <t>Bonus Room - Carpet</t>
  </si>
  <si>
    <t>Install or repair flooring in each room</t>
  </si>
  <si>
    <t>Cabinets</t>
  </si>
  <si>
    <t>Backsplashes</t>
  </si>
  <si>
    <t>Install backsplashes with decorative element.</t>
  </si>
  <si>
    <t>Sinks</t>
  </si>
  <si>
    <t>Install and test sinks, including faucets, water supply, drains, and garbage disposal.</t>
  </si>
  <si>
    <t>Main sink</t>
  </si>
  <si>
    <t>Optional pot filler / sink</t>
  </si>
  <si>
    <t>Appliances</t>
  </si>
  <si>
    <t>Dishwasher</t>
  </si>
  <si>
    <t>Range</t>
  </si>
  <si>
    <t>Oven(s)</t>
  </si>
  <si>
    <t>Microwave</t>
  </si>
  <si>
    <t>Vent Hood</t>
  </si>
  <si>
    <t>Garbage Disposal</t>
  </si>
  <si>
    <t>Refrigerator with ice maker</t>
  </si>
  <si>
    <t>Bathrooms</t>
  </si>
  <si>
    <t>Install bathroom cabinets, countertops, fixtures, shower enclosures. lighting, and plumbing to current code.</t>
  </si>
  <si>
    <t>Master Bath</t>
  </si>
  <si>
    <t>Install all cabinets  and countertops as specified on the bathroom plan.</t>
  </si>
  <si>
    <t>Create a custom shower enclosure with decorative accents.</t>
  </si>
  <si>
    <t>Install and test sink and faucets.</t>
  </si>
  <si>
    <t>Install and test rain shower head and controls.</t>
  </si>
  <si>
    <t>Install and test tub and faucets.</t>
  </si>
  <si>
    <t>Install decorative mirror over sink.</t>
  </si>
  <si>
    <t>Install vanity lights and recessed light in shower and main ceiling.</t>
  </si>
  <si>
    <t>Create a nice shower enclosure with decorative accents.</t>
  </si>
  <si>
    <t>Trash Disposal</t>
  </si>
  <si>
    <t>Trash removal and dump fees for exterior demo.</t>
  </si>
  <si>
    <t>Trash removal and dump fees for interor demo.</t>
  </si>
  <si>
    <t>Other trash removal and dump fees.</t>
  </si>
  <si>
    <t>Cameron Lawn Maintenance</t>
  </si>
  <si>
    <t>Lawn mowing and maintenance 1</t>
  </si>
  <si>
    <t>Lawn mowing and maintenance 2</t>
  </si>
  <si>
    <t>Lawn mowing and maintenance 3</t>
  </si>
  <si>
    <t>Lawn mowing and maintenance 4</t>
  </si>
  <si>
    <t>Clean mow and weed flower beds prior to marketing.</t>
  </si>
  <si>
    <t>Fill in low spot in front yard and plant shrubs</t>
  </si>
  <si>
    <t>Exterior Change order 1</t>
  </si>
  <si>
    <t>Exterior Change order 2</t>
  </si>
  <si>
    <t>Exterior Change order 3</t>
  </si>
  <si>
    <t>Cut driveway concrete for French drain</t>
  </si>
  <si>
    <t>Included</t>
  </si>
  <si>
    <t>Front porch</t>
  </si>
  <si>
    <t>Demo front entry arches and dispose of debris</t>
  </si>
  <si>
    <t>N/A</t>
  </si>
  <si>
    <t>Install Drain - Grates full length, PVC lines, and recover with appropriate materials</t>
  </si>
  <si>
    <t>No roof work is anticipated for this project.</t>
  </si>
  <si>
    <t xml:space="preserve">0 lf of facia </t>
  </si>
  <si>
    <t xml:space="preserve">0 lf of soffit  </t>
  </si>
  <si>
    <t>0 lf of trim</t>
  </si>
  <si>
    <t>Siding is in good condition, but some will need to be added as part of the window work described below.</t>
  </si>
  <si>
    <t>Scoped with windows</t>
  </si>
  <si>
    <t>None anticipated.</t>
  </si>
  <si>
    <t>None scoped.</t>
  </si>
  <si>
    <t>None scoped</t>
  </si>
  <si>
    <t>Trim paint color: Burning Bush PPG 1057-7</t>
  </si>
  <si>
    <t>Window trim paint color: Burning Bush PPG 1057-7</t>
  </si>
  <si>
    <t>Facia paint color: Burning Bush PPG 1057-7</t>
  </si>
  <si>
    <t>Soffit paint color: Burning Bush PPG 1057-7</t>
  </si>
  <si>
    <t>Brick paint color: Rosey PPG 1061-4</t>
  </si>
  <si>
    <t>Siding paint color: Irish Cream PPG 1061-1</t>
  </si>
  <si>
    <t>Other paint color: NA</t>
  </si>
  <si>
    <t>None scope</t>
  </si>
  <si>
    <t>Six lites plus arch where needed</t>
  </si>
  <si>
    <t xml:space="preserve">Family Room windows - Retrofits  30 x 60 </t>
  </si>
  <si>
    <t>Upstairs front windows - Arch  20 x 40 -6 qty</t>
  </si>
  <si>
    <t>Upstairs Bedroom windows - 2 qty  30 x 60</t>
  </si>
  <si>
    <t>Upstairs M. Bedroom windows - 2 qty  40 x 60</t>
  </si>
  <si>
    <t>Front Office windows,  40 x 50 - 1, 20 x 60 - 2. Raise frame, install siding, trim. Shingle to match roof.</t>
  </si>
  <si>
    <t>French doors</t>
  </si>
  <si>
    <t>Replace exterior windows.</t>
  </si>
  <si>
    <t>Replace sliding glass door in dining room with French doors.</t>
  </si>
  <si>
    <t>2 trees up to $25 each</t>
  </si>
  <si>
    <t xml:space="preserve"> </t>
  </si>
  <si>
    <t>Wall opening to dining, remove cabinets and wall</t>
  </si>
  <si>
    <t>Remove furdowns in hall bath</t>
  </si>
  <si>
    <t>Raise water heater in laundry area and bring to current code.</t>
  </si>
  <si>
    <t>Not scoped</t>
  </si>
  <si>
    <t>Install USB power outlets in the kitchen, dining area, and each bedroom</t>
  </si>
  <si>
    <t>Can LED, Office - 6, Kit - 6, Laud - 2, Halls - 2</t>
  </si>
  <si>
    <t>Replace all exterior lights. (7 @ $60 allowance)</t>
  </si>
  <si>
    <t>Replace ceiling fans (allow $800 for materials)</t>
  </si>
  <si>
    <t>Install water heater, dryer, and dishwasher plugs - in wall</t>
  </si>
  <si>
    <t xml:space="preserve">Recessed lighting in all bedrooms </t>
  </si>
  <si>
    <t>Install mushroom lights in hall/closets (12 qty)</t>
  </si>
  <si>
    <t>Not in scope</t>
  </si>
  <si>
    <t>All lighting repairs</t>
  </si>
  <si>
    <t>Demo and support beam entering family room</t>
  </si>
  <si>
    <t>Repair Beam</t>
  </si>
  <si>
    <t>Install new LVL beam entering family room &amp; drywall</t>
  </si>
  <si>
    <t>Powerwash and paint all exterior surfaces.</t>
  </si>
  <si>
    <t>See Building Exterior</t>
  </si>
  <si>
    <t>Install Shoe and Crowne moldings (Living room and Master only)</t>
  </si>
  <si>
    <t>Kitchen - opening to dining room</t>
  </si>
  <si>
    <t>Guest Bath 1, including hardie</t>
  </si>
  <si>
    <t>Guest Bath 2, including hardie</t>
  </si>
  <si>
    <t>Guest Bath 3, including hardie</t>
  </si>
  <si>
    <t>Guest Bath 4, including hardie</t>
  </si>
  <si>
    <t>Kitchen -  tile</t>
  </si>
  <si>
    <t>Family Room - Carpet</t>
  </si>
  <si>
    <t>Laundry Room - Tile</t>
  </si>
  <si>
    <t>Dining Room - Tile</t>
  </si>
  <si>
    <t>Second Living Room - Tile</t>
  </si>
  <si>
    <t>Master Suite - Carpet/Tile</t>
  </si>
  <si>
    <t>Guest Bath 1 - Tile</t>
  </si>
  <si>
    <t>Guest Bath 2 - Tile</t>
  </si>
  <si>
    <t>Guest Bath 3 - Tile</t>
  </si>
  <si>
    <t>Guest Bath 4 - Tile</t>
  </si>
  <si>
    <t>Doors/Trim</t>
  </si>
  <si>
    <t>Paint kitchen cabinets and doors</t>
  </si>
  <si>
    <t>Color of uppers</t>
  </si>
  <si>
    <t>Color of lowers</t>
  </si>
  <si>
    <t>Install and test all appliances. $3000 appliane allowance</t>
  </si>
  <si>
    <t>Countertops</t>
  </si>
  <si>
    <t>Install countertops</t>
  </si>
  <si>
    <t>Hall Bath</t>
  </si>
  <si>
    <t>Second Master</t>
  </si>
  <si>
    <t>Laundry Bath</t>
  </si>
  <si>
    <t>Replacve door to storage area under stairs</t>
  </si>
  <si>
    <t>Make it nice.</t>
  </si>
  <si>
    <t>make it nice</t>
  </si>
  <si>
    <t>Make it nice</t>
  </si>
  <si>
    <t>Road Runner</t>
  </si>
  <si>
    <t>College Town</t>
  </si>
  <si>
    <t>River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</si>
</sst>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yyyy\-mm\-dd"/>
    <numFmt numFmtId="165" formatCode="dddd\,\ yyyy\-mm\-dd"/>
    <numFmt numFmtId="166" formatCode="_(&quot;$&quot;* #,##0_);_(&quot;$&quot;* \(#,##0\);_(&quot;$&quot;* &quot;-&quot;??_);_(@_)"/>
    <numFmt numFmtId="167" formatCode="0.0%"/>
    <numFmt numFmtId="168" formatCode="_(* #,##0_);_(* \(#,##0\);_(* &quot;-&quot;??_);_(@_)"/>
  </numFmts>
  <fonts count="14" x14ac:knownFonts="1">
    <font>
      <sz val="10"/>
      <name val="Myriad Pro"/>
    </font>
    <font>
      <sz val="12"/>
      <color theme="1"/>
      <name val="Calibri"/>
      <family val="2"/>
      <scheme val="minor"/>
    </font>
    <font>
      <sz val="10"/>
      <name val="Myriad Pro"/>
    </font>
    <font>
      <b/>
      <sz val="10"/>
      <name val="Myriad Pro"/>
      <family val="2"/>
    </font>
    <font>
      <sz val="8"/>
      <name val="Myriad Pro"/>
    </font>
    <font>
      <sz val="28"/>
      <color rgb="FF941100"/>
      <name val="Calibri"/>
      <family val="2"/>
      <scheme val="minor"/>
    </font>
    <font>
      <sz val="16"/>
      <color rgb="FF941100"/>
      <name val="Calibri"/>
      <family val="2"/>
      <scheme val="minor"/>
    </font>
    <font>
      <sz val="10"/>
      <name val="Calibri"/>
      <family val="2"/>
      <scheme val="minor"/>
    </font>
    <font>
      <b/>
      <sz val="10"/>
      <name val="Calibri"/>
      <scheme val="minor"/>
    </font>
    <font>
      <b/>
      <sz val="11"/>
      <color rgb="FF941100"/>
      <name val="Calibri"/>
      <family val="2"/>
      <scheme val="minor"/>
    </font>
    <font>
      <b/>
      <sz val="15"/>
      <color rgb="FF941100"/>
      <name val="Myriad Pro"/>
    </font>
    <font>
      <b/>
      <sz val="13"/>
      <color rgb="FF941100"/>
      <name val="Calibri"/>
      <family val="2"/>
      <scheme val="minor"/>
    </font>
    <font>
      <u/>
      <sz val="10"/>
      <color theme="10"/>
      <name val="Myriad Pro"/>
    </font>
    <font>
      <u/>
      <sz val="10"/>
      <color theme="11"/>
      <name val="Myriad Pro"/>
    </font>
  </fonts>
  <fills count="2">
    <fill>
      <patternFill patternType="none"/>
    </fill>
    <fill>
      <patternFill patternType="gray125"/>
    </fill>
  </fills>
  <borders count="2">
    <border>
      <left/>
      <right/>
      <top/>
      <bottom/>
      <diagonal/>
    </border>
    <border>
      <left/>
      <right/>
      <top/>
      <bottom style="thin">
        <color auto="1"/>
      </bottom>
      <diagonal/>
    </border>
  </borders>
  <cellStyleXfs count="13">
    <xf numFmtId="0" fontId="0" fillId="0" borderId="0"/>
    <xf numFmtId="44" fontId="1" fillId="0" borderId="0" applyFont="0" applyFill="0" applyBorder="0" applyAlignment="0" applyProtection="0"/>
    <xf numFmtId="0" fontId="10" fillId="0" borderId="0" applyNumberFormat="0" applyFill="0" applyAlignment="0" applyProtection="0"/>
    <xf numFmtId="0" fontId="11" fillId="0" borderId="0" applyNumberFormat="0" applyFill="0" applyAlignment="0" applyProtection="0"/>
    <xf numFmtId="0" fontId="5" fillId="0" borderId="0">
      <alignment horizontal="center"/>
    </xf>
    <xf numFmtId="0" fontId="6" fillId="0" borderId="0">
      <alignment horizontal="center"/>
    </xf>
    <xf numFmtId="1" fontId="7" fillId="0" borderId="0">
      <alignment vertical="top" wrapText="1"/>
    </xf>
    <xf numFmtId="0" fontId="9" fillId="0" borderId="0" applyNumberFormat="0" applyFill="0" applyBorder="0" applyAlignment="0" applyProtection="0"/>
    <xf numFmtId="164" fontId="2" fillId="0" borderId="0" applyFont="0" applyAlignment="0"/>
    <xf numFmtId="9" fontId="2" fillId="0" borderId="0" applyFont="0" applyFill="0" applyBorder="0" applyAlignment="0" applyProtection="0"/>
    <xf numFmtId="43" fontId="2"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78">
    <xf numFmtId="0" fontId="0" fillId="0" borderId="0" xfId="0"/>
    <xf numFmtId="0" fontId="5" fillId="0" borderId="0" xfId="4">
      <alignment horizontal="center"/>
    </xf>
    <xf numFmtId="0" fontId="3" fillId="0" borderId="0" xfId="0" applyFont="1" applyAlignment="1">
      <alignment horizontal="center"/>
    </xf>
    <xf numFmtId="0" fontId="6" fillId="0" borderId="0" xfId="5">
      <alignment horizontal="center"/>
    </xf>
    <xf numFmtId="1" fontId="8" fillId="0" borderId="0" xfId="6" applyFont="1" applyAlignment="1">
      <alignment horizontal="center"/>
    </xf>
    <xf numFmtId="165" fontId="9" fillId="0" borderId="0" xfId="7" applyNumberFormat="1" applyAlignment="1">
      <alignment horizontal="center"/>
    </xf>
    <xf numFmtId="0" fontId="10" fillId="0" borderId="0" xfId="2"/>
    <xf numFmtId="0" fontId="0" fillId="0" borderId="0" xfId="0" applyAlignment="1">
      <alignment horizontal="left" indent="1"/>
    </xf>
    <xf numFmtId="0" fontId="0" fillId="0" borderId="0" xfId="0" applyAlignment="1">
      <alignment horizontal="left"/>
    </xf>
    <xf numFmtId="1" fontId="8" fillId="0" borderId="0" xfId="6" applyFont="1" applyAlignment="1">
      <alignment vertical="top"/>
    </xf>
    <xf numFmtId="0" fontId="0" fillId="0" borderId="0" xfId="0" applyAlignment="1">
      <alignment vertical="top" wrapText="1"/>
    </xf>
    <xf numFmtId="0" fontId="3" fillId="0" borderId="0" xfId="0" applyFont="1" applyAlignment="1">
      <alignment horizontal="right"/>
    </xf>
    <xf numFmtId="0" fontId="0" fillId="0" borderId="1" xfId="0" applyBorder="1"/>
    <xf numFmtId="0" fontId="11" fillId="0" borderId="0" xfId="3"/>
    <xf numFmtId="0" fontId="0" fillId="0" borderId="0" xfId="0" applyAlignment="1">
      <alignment wrapText="1"/>
    </xf>
    <xf numFmtId="0" fontId="9" fillId="0" borderId="0" xfId="7" applyAlignment="1">
      <alignment wrapText="1"/>
    </xf>
    <xf numFmtId="166" fontId="0" fillId="0" borderId="0" xfId="1" applyNumberFormat="1" applyFont="1"/>
    <xf numFmtId="166" fontId="9" fillId="0" borderId="0" xfId="1" applyNumberFormat="1" applyFont="1" applyAlignment="1">
      <alignment horizontal="right" wrapText="1"/>
    </xf>
    <xf numFmtId="164" fontId="0" fillId="0" borderId="0" xfId="8" applyFont="1" applyAlignment="1">
      <alignment vertical="top" wrapText="1"/>
    </xf>
    <xf numFmtId="164" fontId="9" fillId="0" borderId="0" xfId="8" applyFont="1" applyAlignment="1">
      <alignment horizontal="right" wrapText="1"/>
    </xf>
    <xf numFmtId="0" fontId="10" fillId="0" borderId="0" xfId="2" applyAlignment="1">
      <alignment vertical="top"/>
    </xf>
    <xf numFmtId="164" fontId="0" fillId="0" borderId="0" xfId="8" applyFont="1" applyAlignment="1">
      <alignment vertical="top"/>
    </xf>
    <xf numFmtId="166" fontId="0" fillId="0" borderId="0" xfId="1" applyNumberFormat="1" applyFont="1" applyAlignment="1">
      <alignment vertical="top"/>
    </xf>
    <xf numFmtId="0" fontId="0" fillId="0" borderId="0" xfId="0" applyAlignment="1">
      <alignment vertical="top"/>
    </xf>
    <xf numFmtId="0" fontId="9" fillId="0" borderId="0" xfId="7" applyAlignment="1">
      <alignment horizontal="right" vertical="top"/>
    </xf>
    <xf numFmtId="0" fontId="0" fillId="0" borderId="0" xfId="0" applyAlignment="1">
      <alignment vertical="top" wrapText="1"/>
    </xf>
    <xf numFmtId="0" fontId="9" fillId="0" borderId="0" xfId="7" applyAlignment="1">
      <alignment horizontal="right" vertical="top" wrapText="1"/>
    </xf>
    <xf numFmtId="0" fontId="0" fillId="0" borderId="0" xfId="0" applyAlignment="1">
      <alignment horizontal="left" vertical="top" wrapText="1" indent="1"/>
    </xf>
    <xf numFmtId="0" fontId="0" fillId="0" borderId="0" xfId="0" applyAlignment="1">
      <alignment horizontal="right"/>
    </xf>
    <xf numFmtId="167" fontId="0" fillId="0" borderId="0" xfId="9" applyNumberFormat="1" applyFont="1"/>
    <xf numFmtId="164" fontId="0" fillId="0" borderId="0" xfId="0" applyNumberFormat="1"/>
    <xf numFmtId="0" fontId="9" fillId="0" borderId="0" xfId="7" applyAlignment="1">
      <alignment horizontal="right"/>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vertical="top" wrapText="1"/>
    </xf>
    <xf numFmtId="168" fontId="0" fillId="0" borderId="0" xfId="10" applyNumberFormat="1" applyFont="1"/>
    <xf numFmtId="44" fontId="0" fillId="0" borderId="0" xfId="1" applyFont="1"/>
    <xf numFmtId="44" fontId="0" fillId="0" borderId="0" xfId="0" applyNumberFormat="1"/>
    <xf numFmtId="43" fontId="0" fillId="0" borderId="0" xfId="0" applyNumberFormat="1"/>
    <xf numFmtId="0" fontId="0" fillId="0" borderId="0" xfId="0" applyAlignment="1">
      <alignment horizontal="left" vertical="top" wrapText="1" indent="2"/>
    </xf>
    <xf numFmtId="0" fontId="0" fillId="0" borderId="0" xfId="0" applyAlignment="1">
      <alignment vertical="top" wrapText="1"/>
    </xf>
    <xf numFmtId="168" fontId="0" fillId="0" borderId="0" xfId="10" applyNumberFormat="1" applyFont="1" applyAlignment="1">
      <alignment horizontal="left" indent="1"/>
    </xf>
    <xf numFmtId="0" fontId="11" fillId="0" borderId="0" xfId="3" applyAlignment="1">
      <alignment vertical="top"/>
    </xf>
    <xf numFmtId="0" fontId="9" fillId="0" borderId="0" xfId="7" applyAlignment="1">
      <alignment horizontal="left" vertical="top" indent="1"/>
    </xf>
    <xf numFmtId="0" fontId="9" fillId="0" borderId="0" xfId="7" applyAlignment="1">
      <alignment vertical="top" wrapText="1"/>
    </xf>
    <xf numFmtId="164" fontId="9" fillId="0" borderId="0" xfId="8" applyFont="1" applyAlignment="1">
      <alignment horizontal="right" vertical="top" wrapText="1"/>
    </xf>
    <xf numFmtId="166" fontId="9" fillId="0" borderId="0" xfId="1" applyNumberFormat="1" applyFont="1" applyAlignment="1">
      <alignment horizontal="right" vertical="top" wrapText="1"/>
    </xf>
    <xf numFmtId="0" fontId="8" fillId="0" borderId="0" xfId="7" applyFont="1" applyAlignment="1">
      <alignment vertical="top"/>
    </xf>
    <xf numFmtId="167" fontId="0" fillId="0" borderId="0" xfId="9" applyNumberFormat="1" applyFont="1" applyAlignment="1">
      <alignment vertical="top"/>
    </xf>
    <xf numFmtId="166" fontId="0" fillId="0" borderId="0" xfId="0" applyNumberFormat="1" applyAlignment="1">
      <alignment vertical="top"/>
    </xf>
    <xf numFmtId="0" fontId="0" fillId="0" borderId="0" xfId="0" applyAlignment="1">
      <alignment vertical="top" wrapText="1"/>
    </xf>
    <xf numFmtId="0" fontId="0" fillId="0" borderId="0" xfId="0" applyAlignment="1">
      <alignment horizontal="left" vertical="top" indent="1"/>
    </xf>
    <xf numFmtId="0" fontId="0" fillId="0" borderId="0" xfId="0" applyAlignment="1">
      <alignment vertical="top" wrapText="1"/>
    </xf>
    <xf numFmtId="0" fontId="0" fillId="0" borderId="0" xfId="0" applyAlignment="1">
      <alignment vertical="top" wrapText="1"/>
    </xf>
    <xf numFmtId="0" fontId="0" fillId="0" borderId="0" xfId="0" applyNumberFormat="1" applyAlignment="1">
      <alignment horizontal="left" vertical="top" wrapText="1" indent="1"/>
    </xf>
    <xf numFmtId="0" fontId="0" fillId="0" borderId="0" xfId="0" applyNumberFormat="1" applyAlignment="1">
      <alignment horizontal="left" vertical="top" wrapText="1" indent="2"/>
    </xf>
    <xf numFmtId="0" fontId="0" fillId="0" borderId="0" xfId="0" applyNumberFormat="1" applyAlignment="1">
      <alignment horizontal="left" vertical="top" indent="2"/>
    </xf>
    <xf numFmtId="164" fontId="0" fillId="0" borderId="0" xfId="8" applyNumberFormat="1" applyFont="1" applyAlignment="1">
      <alignment vertical="top"/>
    </xf>
    <xf numFmtId="164" fontId="0" fillId="0" borderId="0" xfId="0" applyNumberFormat="1" applyAlignment="1">
      <alignment vertical="top"/>
    </xf>
    <xf numFmtId="9" fontId="0" fillId="0" borderId="0" xfId="9" applyFont="1" applyAlignment="1">
      <alignment vertical="top"/>
    </xf>
    <xf numFmtId="9" fontId="9" fillId="0" borderId="0" xfId="9" applyFont="1" applyAlignment="1">
      <alignment wrapText="1"/>
    </xf>
    <xf numFmtId="9" fontId="9" fillId="0" borderId="0" xfId="9" applyFont="1" applyAlignment="1">
      <alignment vertical="top" wrapText="1"/>
    </xf>
    <xf numFmtId="168" fontId="0" fillId="0" borderId="0" xfId="10" applyNumberFormat="1" applyFont="1" applyAlignment="1">
      <alignment vertical="top"/>
    </xf>
    <xf numFmtId="168" fontId="9" fillId="0" borderId="0" xfId="10" applyNumberFormat="1" applyFont="1" applyAlignment="1">
      <alignment wrapText="1"/>
    </xf>
    <xf numFmtId="168" fontId="9" fillId="0" borderId="0" xfId="10" applyNumberFormat="1" applyFont="1" applyAlignment="1">
      <alignment vertical="top" wrapText="1"/>
    </xf>
    <xf numFmtId="0" fontId="0" fillId="0" borderId="0" xfId="0" applyAlignment="1">
      <alignment vertical="top" wrapText="1"/>
    </xf>
    <xf numFmtId="0" fontId="0" fillId="0" borderId="0" xfId="0" applyNumberFormat="1" applyAlignment="1">
      <alignment horizontal="left" vertical="top" wrapText="1"/>
    </xf>
    <xf numFmtId="0" fontId="0" fillId="0" borderId="0" xfId="0" applyAlignment="1">
      <alignment vertical="top" wrapText="1"/>
    </xf>
    <xf numFmtId="0" fontId="3" fillId="0" borderId="0" xfId="0" applyFont="1" applyAlignment="1">
      <alignment vertical="top"/>
    </xf>
    <xf numFmtId="0" fontId="0" fillId="0" borderId="0" xfId="0" applyAlignment="1">
      <alignment vertical="top" wrapText="1"/>
    </xf>
    <xf numFmtId="0" fontId="0" fillId="0" borderId="0" xfId="0" applyBorder="1"/>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44" fontId="0" fillId="0" borderId="0" xfId="1" applyNumberFormat="1" applyFont="1" applyAlignment="1">
      <alignment vertical="top"/>
    </xf>
    <xf numFmtId="0" fontId="0" fillId="0" borderId="0" xfId="0" applyAlignment="1">
      <alignment vertical="top" wrapText="1"/>
    </xf>
    <xf numFmtId="0" fontId="3" fillId="0" borderId="0" xfId="0" applyNumberFormat="1" applyFont="1" applyAlignment="1">
      <alignment vertical="top" wrapText="1"/>
    </xf>
  </cellXfs>
  <cellStyles count="13">
    <cellStyle name="Comma" xfId="10" builtinId="3"/>
    <cellStyle name="Company Name" xfId="5"/>
    <cellStyle name="Currency" xfId="1" builtinId="4"/>
    <cellStyle name="Date" xfId="8"/>
    <cellStyle name="Document Name" xfId="4"/>
    <cellStyle name="Followed Hyperlink" xfId="12" builtinId="9" hidden="1"/>
    <cellStyle name="Heading 1" xfId="2" builtinId="16" customBuiltin="1"/>
    <cellStyle name="Heading 2" xfId="3" builtinId="17" customBuiltin="1"/>
    <cellStyle name="Heading 4 2" xfId="7"/>
    <cellStyle name="Hyperlink" xfId="11" builtinId="8" hidden="1"/>
    <cellStyle name="Normal" xfId="0" builtinId="0" customBuiltin="1"/>
    <cellStyle name="Normal 2" xfId="6"/>
    <cellStyle name="Percent" xfId="9" builtinId="5"/>
  </cellStyles>
  <dxfs count="1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Medium7"/>
  <colors>
    <mruColors>
      <color rgb="FF941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4940300</xdr:colOff>
      <xdr:row>32</xdr:row>
      <xdr:rowOff>165100</xdr:rowOff>
    </xdr:from>
    <xdr:to>
      <xdr:col>0</xdr:col>
      <xdr:colOff>6750122</xdr:colOff>
      <xdr:row>46</xdr:row>
      <xdr:rowOff>4219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40300" y="6261100"/>
          <a:ext cx="1809822" cy="23283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8991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9055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9055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9055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9055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9055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9</xdr:row>
      <xdr:rowOff>146576</xdr:rowOff>
    </xdr:to>
    <xdr:pic>
      <xdr:nvPicPr>
        <xdr:cNvPr id="2" name="Picture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8991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381000</xdr:colOff>
      <xdr:row>0</xdr:row>
      <xdr:rowOff>25400</xdr:rowOff>
    </xdr:from>
    <xdr:to>
      <xdr:col>9</xdr:col>
      <xdr:colOff>460247</xdr:colOff>
      <xdr:row>10</xdr:row>
      <xdr:rowOff>44976</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70500" y="25400"/>
          <a:ext cx="1476247" cy="18991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899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8991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8991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899176"/>
        </a:xfrm>
        <a:prstGeom prst="rect">
          <a:avLst/>
        </a:prstGeom>
      </xdr:spPr>
    </xdr:pic>
    <xdr:clientData/>
  </xdr:twoCellAnchor>
  <xdr:twoCellAnchor>
    <xdr:from>
      <xdr:col>1</xdr:col>
      <xdr:colOff>1282700</xdr:colOff>
      <xdr:row>46</xdr:row>
      <xdr:rowOff>114300</xdr:rowOff>
    </xdr:from>
    <xdr:to>
      <xdr:col>3</xdr:col>
      <xdr:colOff>685800</xdr:colOff>
      <xdr:row>60</xdr:row>
      <xdr:rowOff>100476</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a:stretch>
          <a:fillRect/>
        </a:stretch>
      </xdr:blipFill>
      <xdr:spPr>
        <a:xfrm>
          <a:off x="2120900" y="8267700"/>
          <a:ext cx="3835400" cy="24753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8991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8991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520700</xdr:colOff>
      <xdr:row>0</xdr:row>
      <xdr:rowOff>0</xdr:rowOff>
    </xdr:from>
    <xdr:to>
      <xdr:col>8</xdr:col>
      <xdr:colOff>599947</xdr:colOff>
      <xdr:row>10</xdr:row>
      <xdr:rowOff>526</xdr:rowOff>
    </xdr:to>
    <xdr:pic>
      <xdr:nvPicPr>
        <xdr:cNvPr id="2" name="Pictur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6700" y="0"/>
          <a:ext cx="1476247" cy="18991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tabSelected="1" view="pageLayout" workbookViewId="0">
      <selection activeCell="C7" sqref="C7"/>
    </sheetView>
  </sheetViews>
  <sheetFormatPr baseColWidth="10" defaultColWidth="11.3984375" defaultRowHeight="13" x14ac:dyDescent="0.15"/>
  <cols>
    <col min="1" max="1" width="108.3984375" customWidth="1"/>
    <col min="10" max="10" width="14.59765625" customWidth="1"/>
  </cols>
  <sheetData>
    <row r="1" spans="1:4" ht="37" x14ac:dyDescent="0.45">
      <c r="A1" s="1" t="s">
        <v>0</v>
      </c>
      <c r="B1" t="s">
        <v>1</v>
      </c>
      <c r="C1" t="s">
        <v>2</v>
      </c>
    </row>
    <row r="3" spans="1:4" x14ac:dyDescent="0.15">
      <c r="A3" s="2" t="s">
        <v>3</v>
      </c>
      <c r="B3" t="s">
        <v>4</v>
      </c>
      <c r="C3">
        <v>2903</v>
      </c>
    </row>
    <row r="4" spans="1:4" x14ac:dyDescent="0.15">
      <c r="C4" t="s">
        <v>384</v>
      </c>
      <c r="D4" t="str">
        <f>Adr_Number&amp;" "&amp;Street</f>
        <v>2903 Road Runner</v>
      </c>
    </row>
    <row r="5" spans="1:4" ht="21" x14ac:dyDescent="0.25">
      <c r="A5" s="3" t="str">
        <f ca="1">Street&amp;"-"&amp;YEAR(TODAY())</f>
        <v>Road Runner-2017</v>
      </c>
      <c r="C5" t="s">
        <v>385</v>
      </c>
    </row>
    <row r="6" spans="1:4" x14ac:dyDescent="0.15">
      <c r="C6" t="s">
        <v>386</v>
      </c>
    </row>
    <row r="7" spans="1:4" ht="14" x14ac:dyDescent="0.2">
      <c r="A7" s="4" t="s">
        <v>5</v>
      </c>
      <c r="C7" t="s">
        <v>6</v>
      </c>
    </row>
    <row r="8" spans="1:4" x14ac:dyDescent="0.15">
      <c r="C8">
        <v>77802</v>
      </c>
    </row>
    <row r="9" spans="1:4" ht="15" x14ac:dyDescent="0.2">
      <c r="A9" s="5">
        <f>Purchased+3</f>
        <v>42859</v>
      </c>
    </row>
    <row r="11" spans="1:4" ht="14" x14ac:dyDescent="0.2">
      <c r="A11" s="4" t="s">
        <v>7</v>
      </c>
    </row>
    <row r="13" spans="1:4" ht="15" x14ac:dyDescent="0.2">
      <c r="A13" s="5">
        <f ca="1">MAX('Payment Schedule'!A:G)+7</f>
        <v>42999</v>
      </c>
    </row>
  </sheetData>
  <phoneticPr fontId="4" type="noConversion"/>
  <pageMargins left="0.5" right="0.5" top="0.75" bottom="0.75" header="0.3" footer="0.3"/>
  <pageSetup orientation="portrait" horizontalDpi="0" verticalDpi="0"/>
  <headerFooter>
    <oddHeader>&amp;C&amp;"Myriad Pro,Bold"&amp;14&amp;K941100Hermit Haus Redevelopment, LLC</oddHeader>
  </headerFooter>
  <drawing r:id="rId1"/>
  <extLst>
    <ext xmlns:mx="http://schemas.microsoft.com/office/mac/excel/2008/main" uri="{64002731-A6B0-56B0-2670-7721B7C09600}">
      <mx:PLV Mode="1" OnePage="0" WScale="10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Layout" workbookViewId="0">
      <selection activeCell="H24" sqref="H24"/>
    </sheetView>
  </sheetViews>
  <sheetFormatPr baseColWidth="10" defaultColWidth="11" defaultRowHeight="13" x14ac:dyDescent="0.15"/>
  <cols>
    <col min="1" max="1" width="13.19921875" style="40" customWidth="1"/>
    <col min="2" max="2" width="20.796875" style="40" customWidth="1"/>
    <col min="3" max="3" width="49" style="40" customWidth="1"/>
    <col min="4" max="7" width="11" style="21"/>
    <col min="8" max="9" width="11" style="22"/>
    <col min="10" max="16384" width="11" style="23"/>
  </cols>
  <sheetData>
    <row r="1" spans="1:9" ht="19" x14ac:dyDescent="0.15">
      <c r="A1" s="20" t="s">
        <v>212</v>
      </c>
      <c r="B1" s="50"/>
      <c r="C1" s="50"/>
    </row>
    <row r="2" spans="1:9" ht="15" x14ac:dyDescent="0.15">
      <c r="A2" s="26" t="s">
        <v>50</v>
      </c>
      <c r="B2" s="50" t="str">
        <f ca="1">Project_Name</f>
        <v>Road Runner-2017</v>
      </c>
      <c r="C2" s="50"/>
    </row>
    <row r="3" spans="1:9" ht="15" x14ac:dyDescent="0.15">
      <c r="A3" s="26" t="s">
        <v>51</v>
      </c>
      <c r="B3" s="50" t="s">
        <v>212</v>
      </c>
      <c r="C3" s="50" t="s">
        <v>155</v>
      </c>
    </row>
    <row r="4" spans="1:9" x14ac:dyDescent="0.15">
      <c r="A4" s="50"/>
      <c r="B4" s="50"/>
      <c r="C4" s="50"/>
      <c r="D4" s="18"/>
      <c r="E4" s="18"/>
      <c r="F4" s="18"/>
    </row>
    <row r="5" spans="1:9" ht="14" customHeight="1" x14ac:dyDescent="0.15">
      <c r="A5" s="76" t="s">
        <v>223</v>
      </c>
      <c r="B5" s="76"/>
      <c r="C5" s="76"/>
      <c r="D5" s="76"/>
      <c r="E5" s="76"/>
      <c r="F5" s="76"/>
      <c r="G5" s="50"/>
    </row>
    <row r="6" spans="1:9" x14ac:dyDescent="0.15">
      <c r="A6" s="76"/>
      <c r="B6" s="76"/>
      <c r="C6" s="76"/>
      <c r="D6" s="76"/>
      <c r="E6" s="76"/>
      <c r="F6" s="76"/>
      <c r="G6" s="50"/>
    </row>
    <row r="7" spans="1:9" x14ac:dyDescent="0.15">
      <c r="A7" s="23"/>
      <c r="B7" s="50"/>
      <c r="C7" s="50"/>
      <c r="D7" s="50"/>
      <c r="E7" s="50"/>
      <c r="F7" s="50"/>
      <c r="G7" s="50"/>
    </row>
    <row r="8" spans="1:9" x14ac:dyDescent="0.15">
      <c r="A8" s="23" t="s">
        <v>75</v>
      </c>
      <c r="B8" s="50"/>
      <c r="C8" s="50"/>
      <c r="D8" s="50"/>
      <c r="E8" s="50"/>
      <c r="F8" s="50"/>
      <c r="G8" s="50"/>
    </row>
    <row r="9" spans="1:9" x14ac:dyDescent="0.15">
      <c r="A9" s="23" t="s">
        <v>76</v>
      </c>
      <c r="B9" s="50"/>
      <c r="C9" s="50"/>
      <c r="D9" s="50"/>
      <c r="E9" s="50"/>
      <c r="F9" s="50"/>
      <c r="G9" s="50"/>
    </row>
    <row r="11" spans="1:9" s="14" customFormat="1" ht="30" x14ac:dyDescent="0.2">
      <c r="A11" s="15" t="s">
        <v>53</v>
      </c>
      <c r="B11" s="15" t="s">
        <v>54</v>
      </c>
      <c r="C11" s="15" t="s">
        <v>55</v>
      </c>
      <c r="D11" s="19" t="s">
        <v>33</v>
      </c>
      <c r="E11" s="19" t="s">
        <v>56</v>
      </c>
      <c r="F11" s="19" t="s">
        <v>57</v>
      </c>
      <c r="G11" s="19" t="s">
        <v>58</v>
      </c>
      <c r="H11" s="17" t="s">
        <v>59</v>
      </c>
      <c r="I11" s="17" t="s">
        <v>60</v>
      </c>
    </row>
    <row r="12" spans="1:9" ht="39" x14ac:dyDescent="0.15">
      <c r="A12" s="40" t="s">
        <v>213</v>
      </c>
      <c r="B12" s="40" t="s">
        <v>63</v>
      </c>
      <c r="C12" s="40" t="s">
        <v>214</v>
      </c>
      <c r="D12" s="21">
        <f>Start_Date</f>
        <v>42859</v>
      </c>
      <c r="E12" s="21">
        <f>D12+5</f>
        <v>42864</v>
      </c>
      <c r="H12" s="22">
        <v>200</v>
      </c>
    </row>
    <row r="13" spans="1:9" x14ac:dyDescent="0.15">
      <c r="A13" s="50"/>
      <c r="B13" s="50"/>
      <c r="C13" s="27"/>
    </row>
    <row r="14" spans="1:9" x14ac:dyDescent="0.15">
      <c r="A14" s="23" t="s">
        <v>158</v>
      </c>
      <c r="B14" s="52" t="s">
        <v>347</v>
      </c>
      <c r="C14" s="52" t="s">
        <v>159</v>
      </c>
      <c r="D14" s="21">
        <f>E12+5</f>
        <v>42869</v>
      </c>
      <c r="E14" s="21">
        <f>D14+15</f>
        <v>42884</v>
      </c>
      <c r="H14" s="22">
        <v>500</v>
      </c>
    </row>
    <row r="15" spans="1:9" x14ac:dyDescent="0.15">
      <c r="A15" s="50"/>
      <c r="B15" s="50"/>
      <c r="C15" s="27"/>
    </row>
    <row r="16" spans="1:9" x14ac:dyDescent="0.15">
      <c r="A16" s="50" t="s">
        <v>215</v>
      </c>
      <c r="B16" s="72" t="s">
        <v>347</v>
      </c>
      <c r="C16" s="33" t="s">
        <v>216</v>
      </c>
      <c r="D16" s="21">
        <f>D14</f>
        <v>42869</v>
      </c>
      <c r="E16" s="21">
        <f>D16+2</f>
        <v>42871</v>
      </c>
    </row>
    <row r="17" spans="1:9" x14ac:dyDescent="0.15">
      <c r="A17" s="50"/>
      <c r="B17" s="50"/>
      <c r="C17" s="27"/>
    </row>
    <row r="18" spans="1:9" ht="26" x14ac:dyDescent="0.15">
      <c r="A18" s="50" t="s">
        <v>217</v>
      </c>
      <c r="B18" s="72" t="s">
        <v>347</v>
      </c>
      <c r="C18" s="50" t="s">
        <v>218</v>
      </c>
      <c r="D18" s="21">
        <f>E14+1</f>
        <v>42885</v>
      </c>
      <c r="E18" s="21">
        <f>D18+COUNTA(C19:C23)</f>
        <v>42890</v>
      </c>
    </row>
    <row r="19" spans="1:9" x14ac:dyDescent="0.15">
      <c r="A19" s="50"/>
      <c r="B19" s="50"/>
      <c r="C19" s="54" t="s">
        <v>219</v>
      </c>
    </row>
    <row r="20" spans="1:9" x14ac:dyDescent="0.15">
      <c r="A20" s="50"/>
      <c r="B20" s="50"/>
      <c r="C20" s="54" t="s">
        <v>220</v>
      </c>
    </row>
    <row r="21" spans="1:9" x14ac:dyDescent="0.15">
      <c r="A21" s="50"/>
      <c r="B21" s="50"/>
      <c r="C21" s="54" t="s">
        <v>221</v>
      </c>
    </row>
    <row r="22" spans="1:9" x14ac:dyDescent="0.15">
      <c r="A22" s="50"/>
      <c r="B22" s="50"/>
      <c r="C22" s="54" t="s">
        <v>222</v>
      </c>
    </row>
    <row r="23" spans="1:9" x14ac:dyDescent="0.15">
      <c r="A23" s="23" t="s">
        <v>66</v>
      </c>
      <c r="B23" s="50" t="s">
        <v>335</v>
      </c>
      <c r="C23" s="56" t="s">
        <v>335</v>
      </c>
      <c r="H23" s="22">
        <f>SUM(H12:H22)*5%</f>
        <v>35</v>
      </c>
    </row>
    <row r="24" spans="1:9" x14ac:dyDescent="0.15">
      <c r="A24" s="50" t="s">
        <v>68</v>
      </c>
      <c r="B24" s="50" t="s">
        <v>69</v>
      </c>
      <c r="C24" s="66" t="s">
        <v>70</v>
      </c>
    </row>
    <row r="25" spans="1:9" x14ac:dyDescent="0.15">
      <c r="A25" s="50"/>
      <c r="B25" s="50" t="s">
        <v>69</v>
      </c>
      <c r="C25" s="66" t="s">
        <v>71</v>
      </c>
    </row>
    <row r="26" spans="1:9" x14ac:dyDescent="0.15">
      <c r="A26" s="50"/>
      <c r="B26" s="50" t="s">
        <v>69</v>
      </c>
      <c r="C26" s="66" t="s">
        <v>72</v>
      </c>
    </row>
    <row r="27" spans="1:9" x14ac:dyDescent="0.15">
      <c r="A27" s="50"/>
      <c r="B27" s="50"/>
      <c r="C27" s="55"/>
    </row>
    <row r="28" spans="1:9" x14ac:dyDescent="0.15">
      <c r="A28" s="50"/>
      <c r="B28" s="50"/>
      <c r="C28" s="55"/>
    </row>
    <row r="29" spans="1:9" x14ac:dyDescent="0.15">
      <c r="A29" s="50"/>
      <c r="B29" s="50"/>
      <c r="C29" s="55"/>
    </row>
    <row r="30" spans="1:9" x14ac:dyDescent="0.15">
      <c r="A30" s="50"/>
      <c r="B30" s="50"/>
      <c r="C30" s="27"/>
    </row>
    <row r="31" spans="1:9" x14ac:dyDescent="0.15">
      <c r="A31" s="50"/>
      <c r="B31" s="50"/>
      <c r="C31" s="27"/>
    </row>
    <row r="32" spans="1:9" s="21" customFormat="1" x14ac:dyDescent="0.15">
      <c r="A32" s="50"/>
      <c r="B32" s="50"/>
      <c r="C32" s="50"/>
      <c r="H32" s="22"/>
      <c r="I32" s="22"/>
    </row>
    <row r="33" spans="1:9" s="21" customFormat="1" x14ac:dyDescent="0.15">
      <c r="A33" s="50"/>
      <c r="B33" s="50"/>
      <c r="C33" s="27"/>
      <c r="H33" s="22"/>
      <c r="I33" s="22"/>
    </row>
    <row r="34" spans="1:9" s="21" customFormat="1" x14ac:dyDescent="0.15">
      <c r="A34" s="50"/>
      <c r="B34" s="50"/>
      <c r="C34" s="50"/>
      <c r="H34" s="22"/>
      <c r="I34" s="22"/>
    </row>
    <row r="35" spans="1:9" x14ac:dyDescent="0.15">
      <c r="A35" s="50"/>
      <c r="B35" s="50"/>
      <c r="C35" s="50"/>
    </row>
    <row r="36" spans="1:9" x14ac:dyDescent="0.15">
      <c r="A36" s="50"/>
      <c r="B36" s="50"/>
      <c r="C36" s="27"/>
    </row>
    <row r="37" spans="1:9" x14ac:dyDescent="0.15">
      <c r="A37" s="52"/>
      <c r="B37" s="52"/>
      <c r="C37" s="27"/>
    </row>
    <row r="38" spans="1:9" x14ac:dyDescent="0.15">
      <c r="A38" s="50"/>
      <c r="B38" s="50"/>
      <c r="C38" s="27"/>
    </row>
    <row r="39" spans="1:9" x14ac:dyDescent="0.15">
      <c r="A39" s="50"/>
      <c r="B39" s="50"/>
      <c r="C39" s="27"/>
    </row>
    <row r="41" spans="1:9" x14ac:dyDescent="0.15">
      <c r="A41" s="50"/>
      <c r="B41" s="50"/>
      <c r="C41" s="50"/>
    </row>
    <row r="43" spans="1:9" x14ac:dyDescent="0.15">
      <c r="A43" s="50"/>
      <c r="B43" s="50"/>
      <c r="C43" s="50"/>
    </row>
    <row r="44" spans="1:9" x14ac:dyDescent="0.15">
      <c r="A44" s="50"/>
      <c r="B44" s="50"/>
      <c r="C44" s="50"/>
    </row>
    <row r="45" spans="1:9" x14ac:dyDescent="0.15">
      <c r="A45" s="50"/>
      <c r="B45" s="50"/>
      <c r="C45" s="50"/>
    </row>
  </sheetData>
  <mergeCells count="1">
    <mergeCell ref="A5:F6"/>
  </mergeCells>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view="pageLayout" topLeftCell="A14" workbookViewId="0">
      <selection activeCell="H46" sqref="H46"/>
    </sheetView>
  </sheetViews>
  <sheetFormatPr baseColWidth="10" defaultColWidth="11" defaultRowHeight="13" x14ac:dyDescent="0.15"/>
  <cols>
    <col min="1" max="1" width="13.19921875" style="53" customWidth="1"/>
    <col min="2" max="2" width="20.796875" style="53" customWidth="1"/>
    <col min="3" max="3" width="49" style="53" customWidth="1"/>
    <col min="4" max="7" width="11" style="21"/>
    <col min="8" max="9" width="11" style="22"/>
    <col min="10" max="16384" width="11" style="23"/>
  </cols>
  <sheetData>
    <row r="1" spans="1:9" ht="19" x14ac:dyDescent="0.15">
      <c r="A1" s="20" t="s">
        <v>243</v>
      </c>
    </row>
    <row r="2" spans="1:9" ht="15" x14ac:dyDescent="0.15">
      <c r="A2" s="26" t="s">
        <v>50</v>
      </c>
      <c r="B2" s="53" t="str">
        <f ca="1">Project_Name</f>
        <v>Road Runner-2017</v>
      </c>
    </row>
    <row r="3" spans="1:9" ht="15" x14ac:dyDescent="0.15">
      <c r="A3" s="26" t="s">
        <v>51</v>
      </c>
      <c r="B3" s="53" t="s">
        <v>69</v>
      </c>
      <c r="C3" s="53" t="s">
        <v>155</v>
      </c>
    </row>
    <row r="4" spans="1:9" x14ac:dyDescent="0.15">
      <c r="D4" s="18"/>
      <c r="E4" s="18"/>
      <c r="F4" s="18"/>
    </row>
    <row r="5" spans="1:9" ht="14" customHeight="1" x14ac:dyDescent="0.15">
      <c r="A5" s="23" t="s">
        <v>224</v>
      </c>
      <c r="D5" s="53"/>
      <c r="E5" s="53"/>
      <c r="F5" s="53"/>
      <c r="G5" s="53"/>
    </row>
    <row r="6" spans="1:9" x14ac:dyDescent="0.15">
      <c r="A6" s="23" t="s">
        <v>225</v>
      </c>
      <c r="D6" s="53"/>
      <c r="E6" s="53"/>
      <c r="F6" s="53"/>
      <c r="G6" s="53"/>
    </row>
    <row r="7" spans="1:9" x14ac:dyDescent="0.15">
      <c r="A7" s="23"/>
      <c r="D7" s="53"/>
      <c r="E7" s="53"/>
      <c r="F7" s="53"/>
      <c r="G7" s="53"/>
    </row>
    <row r="8" spans="1:9" x14ac:dyDescent="0.15">
      <c r="A8" s="23" t="s">
        <v>75</v>
      </c>
      <c r="D8" s="53"/>
      <c r="E8" s="53"/>
      <c r="F8" s="53"/>
      <c r="G8" s="53"/>
    </row>
    <row r="9" spans="1:9" x14ac:dyDescent="0.15">
      <c r="A9" s="23" t="s">
        <v>76</v>
      </c>
      <c r="D9" s="53"/>
      <c r="E9" s="53"/>
      <c r="F9" s="53"/>
      <c r="G9" s="53"/>
    </row>
    <row r="11" spans="1:9" s="14" customFormat="1" ht="30" x14ac:dyDescent="0.2">
      <c r="A11" s="15" t="s">
        <v>53</v>
      </c>
      <c r="B11" s="15" t="s">
        <v>54</v>
      </c>
      <c r="C11" s="15" t="s">
        <v>55</v>
      </c>
      <c r="D11" s="19" t="s">
        <v>33</v>
      </c>
      <c r="E11" s="19" t="s">
        <v>56</v>
      </c>
      <c r="F11" s="19" t="s">
        <v>57</v>
      </c>
      <c r="G11" s="19" t="s">
        <v>58</v>
      </c>
      <c r="H11" s="17" t="s">
        <v>59</v>
      </c>
      <c r="I11" s="17" t="s">
        <v>60</v>
      </c>
    </row>
    <row r="12" spans="1:9" ht="26" x14ac:dyDescent="0.15">
      <c r="A12" s="53" t="s">
        <v>226</v>
      </c>
      <c r="B12" s="53" t="s">
        <v>89</v>
      </c>
      <c r="C12" s="53" t="s">
        <v>237</v>
      </c>
      <c r="D12" s="21">
        <f>MAX('Interior Demo'!E:E)</f>
        <v>0</v>
      </c>
      <c r="E12" s="21">
        <f>MAX(E13:E28)</f>
        <v>8</v>
      </c>
      <c r="H12" s="22">
        <f>SUM(H13:H28)</f>
        <v>1675</v>
      </c>
    </row>
    <row r="13" spans="1:9" x14ac:dyDescent="0.15">
      <c r="C13" s="27" t="s">
        <v>355</v>
      </c>
      <c r="D13" s="21">
        <f>D12+0.5</f>
        <v>0.5</v>
      </c>
      <c r="E13" s="21">
        <f>D13</f>
        <v>0.5</v>
      </c>
      <c r="H13" s="22">
        <v>575</v>
      </c>
    </row>
    <row r="14" spans="1:9" x14ac:dyDescent="0.15">
      <c r="A14" s="23"/>
      <c r="C14" s="27" t="s">
        <v>228</v>
      </c>
      <c r="D14" s="21">
        <f t="shared" ref="D14:D28" si="0">D13+0.5</f>
        <v>1</v>
      </c>
      <c r="E14" s="21">
        <f t="shared" ref="E14:E26" si="1">D14</f>
        <v>1</v>
      </c>
    </row>
    <row r="15" spans="1:9" x14ac:dyDescent="0.15">
      <c r="C15" s="27" t="s">
        <v>229</v>
      </c>
      <c r="D15" s="21">
        <f t="shared" si="0"/>
        <v>1.5</v>
      </c>
      <c r="E15" s="21">
        <f t="shared" si="1"/>
        <v>1.5</v>
      </c>
    </row>
    <row r="16" spans="1:9" x14ac:dyDescent="0.15">
      <c r="C16" s="27" t="s">
        <v>230</v>
      </c>
      <c r="D16" s="21">
        <f t="shared" si="0"/>
        <v>2</v>
      </c>
      <c r="E16" s="21">
        <f t="shared" si="1"/>
        <v>2</v>
      </c>
    </row>
    <row r="17" spans="1:8" x14ac:dyDescent="0.15">
      <c r="C17" s="27" t="s">
        <v>231</v>
      </c>
      <c r="D17" s="21">
        <f t="shared" si="0"/>
        <v>2.5</v>
      </c>
      <c r="E17" s="21">
        <f t="shared" si="1"/>
        <v>2.5</v>
      </c>
    </row>
    <row r="18" spans="1:8" x14ac:dyDescent="0.15">
      <c r="C18" s="27" t="s">
        <v>232</v>
      </c>
      <c r="D18" s="21">
        <f t="shared" si="0"/>
        <v>3</v>
      </c>
      <c r="E18" s="21">
        <f t="shared" si="1"/>
        <v>3</v>
      </c>
    </row>
    <row r="19" spans="1:8" x14ac:dyDescent="0.15">
      <c r="C19" s="27" t="s">
        <v>356</v>
      </c>
      <c r="D19" s="21">
        <f t="shared" si="0"/>
        <v>3.5</v>
      </c>
      <c r="E19" s="21">
        <f t="shared" si="1"/>
        <v>3.5</v>
      </c>
    </row>
    <row r="20" spans="1:8" x14ac:dyDescent="0.15">
      <c r="C20" s="27" t="s">
        <v>357</v>
      </c>
      <c r="D20" s="21">
        <f t="shared" si="0"/>
        <v>4</v>
      </c>
      <c r="E20" s="21">
        <f t="shared" si="1"/>
        <v>4</v>
      </c>
    </row>
    <row r="21" spans="1:8" x14ac:dyDescent="0.15">
      <c r="C21" s="27" t="s">
        <v>358</v>
      </c>
      <c r="D21" s="21">
        <f t="shared" si="0"/>
        <v>4.5</v>
      </c>
      <c r="E21" s="21">
        <f t="shared" si="1"/>
        <v>4.5</v>
      </c>
    </row>
    <row r="22" spans="1:8" x14ac:dyDescent="0.15">
      <c r="C22" s="27" t="s">
        <v>359</v>
      </c>
      <c r="D22" s="21">
        <f t="shared" si="0"/>
        <v>5</v>
      </c>
      <c r="E22" s="21">
        <f t="shared" si="1"/>
        <v>5</v>
      </c>
    </row>
    <row r="23" spans="1:8" x14ac:dyDescent="0.15">
      <c r="C23" s="27" t="s">
        <v>238</v>
      </c>
      <c r="D23" s="21">
        <f t="shared" si="0"/>
        <v>5.5</v>
      </c>
      <c r="E23" s="21">
        <f t="shared" si="1"/>
        <v>5.5</v>
      </c>
    </row>
    <row r="24" spans="1:8" x14ac:dyDescent="0.15">
      <c r="C24" s="27" t="s">
        <v>239</v>
      </c>
      <c r="D24" s="21">
        <f t="shared" si="0"/>
        <v>6</v>
      </c>
      <c r="E24" s="21">
        <f t="shared" si="1"/>
        <v>6</v>
      </c>
    </row>
    <row r="25" spans="1:8" x14ac:dyDescent="0.15">
      <c r="C25" s="27" t="s">
        <v>240</v>
      </c>
      <c r="D25" s="21">
        <f t="shared" si="0"/>
        <v>6.5</v>
      </c>
      <c r="E25" s="21">
        <f t="shared" si="1"/>
        <v>6.5</v>
      </c>
    </row>
    <row r="26" spans="1:8" x14ac:dyDescent="0.15">
      <c r="C26" s="27" t="s">
        <v>241</v>
      </c>
      <c r="D26" s="21">
        <f t="shared" si="0"/>
        <v>7</v>
      </c>
      <c r="E26" s="21">
        <f t="shared" si="1"/>
        <v>7</v>
      </c>
    </row>
    <row r="27" spans="1:8" x14ac:dyDescent="0.15">
      <c r="A27" s="72"/>
      <c r="B27" s="72"/>
      <c r="C27" s="27" t="s">
        <v>348</v>
      </c>
      <c r="D27" s="21">
        <f t="shared" si="0"/>
        <v>7.5</v>
      </c>
      <c r="E27" s="21">
        <f t="shared" ref="E27:E28" si="2">D27</f>
        <v>7.5</v>
      </c>
      <c r="H27" s="22">
        <v>1100</v>
      </c>
    </row>
    <row r="28" spans="1:8" x14ac:dyDescent="0.15">
      <c r="C28" s="27" t="s">
        <v>242</v>
      </c>
      <c r="D28" s="21">
        <f t="shared" si="0"/>
        <v>8</v>
      </c>
      <c r="E28" s="21">
        <f t="shared" si="2"/>
        <v>8</v>
      </c>
    </row>
    <row r="30" spans="1:8" ht="26" x14ac:dyDescent="0.15">
      <c r="A30" s="53" t="s">
        <v>245</v>
      </c>
      <c r="B30" s="53" t="s">
        <v>89</v>
      </c>
      <c r="C30" s="53" t="s">
        <v>354</v>
      </c>
      <c r="D30" s="21">
        <f>E12+1</f>
        <v>9</v>
      </c>
      <c r="E30" s="21">
        <f>MAX(E31:E46)</f>
        <v>20.25</v>
      </c>
      <c r="H30" s="22">
        <f>SUM(H31:H46)</f>
        <v>550</v>
      </c>
    </row>
    <row r="31" spans="1:8" x14ac:dyDescent="0.15">
      <c r="C31" s="27" t="s">
        <v>227</v>
      </c>
      <c r="D31" s="21">
        <f>D30+0.75</f>
        <v>9.75</v>
      </c>
      <c r="E31" s="21">
        <f>D31</f>
        <v>9.75</v>
      </c>
    </row>
    <row r="32" spans="1:8" x14ac:dyDescent="0.15">
      <c r="A32" s="23"/>
      <c r="C32" s="27" t="s">
        <v>228</v>
      </c>
      <c r="D32" s="21">
        <f t="shared" ref="D32:D44" si="3">D31+0.75</f>
        <v>10.5</v>
      </c>
      <c r="E32" s="21">
        <f t="shared" ref="E32:E46" si="4">D32</f>
        <v>10.5</v>
      </c>
    </row>
    <row r="33" spans="1:8" x14ac:dyDescent="0.15">
      <c r="C33" s="27" t="s">
        <v>229</v>
      </c>
      <c r="D33" s="21">
        <f t="shared" si="3"/>
        <v>11.25</v>
      </c>
      <c r="E33" s="21">
        <f t="shared" si="4"/>
        <v>11.25</v>
      </c>
    </row>
    <row r="34" spans="1:8" x14ac:dyDescent="0.15">
      <c r="C34" s="27" t="s">
        <v>230</v>
      </c>
      <c r="D34" s="21">
        <f t="shared" si="3"/>
        <v>12</v>
      </c>
      <c r="E34" s="21">
        <f t="shared" si="4"/>
        <v>12</v>
      </c>
    </row>
    <row r="35" spans="1:8" x14ac:dyDescent="0.15">
      <c r="C35" s="27" t="s">
        <v>231</v>
      </c>
      <c r="D35" s="21">
        <f t="shared" si="3"/>
        <v>12.75</v>
      </c>
      <c r="E35" s="21">
        <f t="shared" si="4"/>
        <v>12.75</v>
      </c>
    </row>
    <row r="36" spans="1:8" x14ac:dyDescent="0.15">
      <c r="C36" s="27" t="s">
        <v>232</v>
      </c>
      <c r="D36" s="21">
        <f t="shared" si="3"/>
        <v>13.5</v>
      </c>
      <c r="E36" s="21">
        <f t="shared" si="4"/>
        <v>13.5</v>
      </c>
    </row>
    <row r="37" spans="1:8" x14ac:dyDescent="0.15">
      <c r="C37" s="27" t="s">
        <v>233</v>
      </c>
      <c r="D37" s="21">
        <f t="shared" si="3"/>
        <v>14.25</v>
      </c>
      <c r="E37" s="21">
        <f t="shared" si="4"/>
        <v>14.25</v>
      </c>
    </row>
    <row r="38" spans="1:8" x14ac:dyDescent="0.15">
      <c r="C38" s="27" t="s">
        <v>234</v>
      </c>
      <c r="D38" s="21">
        <f t="shared" si="3"/>
        <v>15</v>
      </c>
      <c r="E38" s="21">
        <f t="shared" si="4"/>
        <v>15</v>
      </c>
    </row>
    <row r="39" spans="1:8" x14ac:dyDescent="0.15">
      <c r="C39" s="27" t="s">
        <v>235</v>
      </c>
      <c r="D39" s="21">
        <f t="shared" si="3"/>
        <v>15.75</v>
      </c>
      <c r="E39" s="21">
        <f t="shared" si="4"/>
        <v>15.75</v>
      </c>
    </row>
    <row r="40" spans="1:8" x14ac:dyDescent="0.15">
      <c r="C40" s="27" t="s">
        <v>236</v>
      </c>
      <c r="D40" s="21">
        <f t="shared" si="3"/>
        <v>16.5</v>
      </c>
      <c r="E40" s="21">
        <f t="shared" si="4"/>
        <v>16.5</v>
      </c>
    </row>
    <row r="41" spans="1:8" x14ac:dyDescent="0.15">
      <c r="C41" s="27" t="s">
        <v>238</v>
      </c>
      <c r="D41" s="21">
        <f t="shared" si="3"/>
        <v>17.25</v>
      </c>
      <c r="E41" s="21">
        <f t="shared" si="4"/>
        <v>17.25</v>
      </c>
    </row>
    <row r="42" spans="1:8" x14ac:dyDescent="0.15">
      <c r="C42" s="27" t="s">
        <v>239</v>
      </c>
      <c r="D42" s="21">
        <f t="shared" si="3"/>
        <v>18</v>
      </c>
      <c r="E42" s="21">
        <f t="shared" si="4"/>
        <v>18</v>
      </c>
    </row>
    <row r="43" spans="1:8" x14ac:dyDescent="0.15">
      <c r="C43" s="27" t="s">
        <v>240</v>
      </c>
      <c r="D43" s="21">
        <f t="shared" si="3"/>
        <v>18.75</v>
      </c>
      <c r="E43" s="21">
        <f t="shared" si="4"/>
        <v>18.75</v>
      </c>
    </row>
    <row r="44" spans="1:8" x14ac:dyDescent="0.15">
      <c r="C44" s="27" t="s">
        <v>241</v>
      </c>
      <c r="D44" s="21">
        <f t="shared" si="3"/>
        <v>19.5</v>
      </c>
      <c r="E44" s="21">
        <f t="shared" si="4"/>
        <v>19.5</v>
      </c>
    </row>
    <row r="45" spans="1:8" x14ac:dyDescent="0.15">
      <c r="A45" s="73"/>
      <c r="B45" s="73"/>
      <c r="C45" s="27" t="s">
        <v>380</v>
      </c>
      <c r="H45" s="22">
        <v>550</v>
      </c>
    </row>
    <row r="46" spans="1:8" x14ac:dyDescent="0.15">
      <c r="C46" s="27" t="s">
        <v>242</v>
      </c>
      <c r="D46" s="21">
        <f>D44+0.75</f>
        <v>20.25</v>
      </c>
      <c r="E46" s="21">
        <f t="shared" si="4"/>
        <v>20.25</v>
      </c>
    </row>
    <row r="49" spans="1:9" x14ac:dyDescent="0.15">
      <c r="A49" s="53" t="s">
        <v>350</v>
      </c>
      <c r="C49" s="53" t="s">
        <v>351</v>
      </c>
      <c r="H49" s="22">
        <v>1550</v>
      </c>
    </row>
    <row r="50" spans="1:9" x14ac:dyDescent="0.15">
      <c r="A50" s="23" t="s">
        <v>66</v>
      </c>
      <c r="B50" s="53" t="s">
        <v>335</v>
      </c>
      <c r="C50" s="56" t="s">
        <v>335</v>
      </c>
      <c r="H50" s="22">
        <f>SUM(H12:H49)*5%</f>
        <v>300</v>
      </c>
    </row>
    <row r="51" spans="1:9" x14ac:dyDescent="0.15">
      <c r="A51" s="53" t="s">
        <v>68</v>
      </c>
      <c r="B51" s="53" t="s">
        <v>69</v>
      </c>
      <c r="C51" s="66" t="s">
        <v>70</v>
      </c>
    </row>
    <row r="52" spans="1:9" x14ac:dyDescent="0.15">
      <c r="B52" s="53" t="s">
        <v>69</v>
      </c>
      <c r="C52" s="66" t="s">
        <v>71</v>
      </c>
    </row>
    <row r="53" spans="1:9" x14ac:dyDescent="0.15">
      <c r="B53" s="53" t="s">
        <v>69</v>
      </c>
      <c r="C53" s="66" t="s">
        <v>72</v>
      </c>
    </row>
    <row r="54" spans="1:9" x14ac:dyDescent="0.15">
      <c r="C54" s="55"/>
    </row>
    <row r="55" spans="1:9" x14ac:dyDescent="0.15">
      <c r="C55" s="55"/>
    </row>
    <row r="56" spans="1:9" x14ac:dyDescent="0.15">
      <c r="C56" s="55"/>
    </row>
    <row r="57" spans="1:9" x14ac:dyDescent="0.15">
      <c r="C57" s="27"/>
    </row>
    <row r="58" spans="1:9" x14ac:dyDescent="0.15">
      <c r="C58" s="27"/>
    </row>
    <row r="59" spans="1:9" s="21" customFormat="1" x14ac:dyDescent="0.15">
      <c r="A59" s="53"/>
      <c r="B59" s="53"/>
      <c r="C59" s="53"/>
      <c r="H59" s="22"/>
      <c r="I59" s="22"/>
    </row>
    <row r="60" spans="1:9" s="21" customFormat="1" x14ac:dyDescent="0.15">
      <c r="A60" s="53"/>
      <c r="B60" s="53"/>
      <c r="C60" s="27"/>
      <c r="H60" s="22"/>
      <c r="I60" s="22"/>
    </row>
    <row r="61" spans="1:9" s="21" customFormat="1" x14ac:dyDescent="0.15">
      <c r="A61" s="53"/>
      <c r="B61" s="53"/>
      <c r="C61" s="53"/>
      <c r="H61" s="22"/>
      <c r="I61" s="22"/>
    </row>
    <row r="63" spans="1:9" x14ac:dyDescent="0.15">
      <c r="C63" s="27"/>
    </row>
    <row r="64" spans="1:9" x14ac:dyDescent="0.15">
      <c r="C64" s="27"/>
    </row>
    <row r="65" spans="3:3" x14ac:dyDescent="0.15">
      <c r="C65" s="27"/>
    </row>
    <row r="66" spans="3:3" x14ac:dyDescent="0.15">
      <c r="C66" s="27"/>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view="pageLayout" topLeftCell="A8" workbookViewId="0">
      <selection activeCell="H16" sqref="H16"/>
    </sheetView>
  </sheetViews>
  <sheetFormatPr baseColWidth="10" defaultColWidth="11" defaultRowHeight="13" x14ac:dyDescent="0.15"/>
  <cols>
    <col min="1" max="1" width="13.19921875" style="53" customWidth="1"/>
    <col min="2" max="2" width="20.796875" style="53" customWidth="1"/>
    <col min="3" max="3" width="49" style="53" customWidth="1"/>
    <col min="4" max="7" width="11" style="21"/>
    <col min="8" max="9" width="11" style="22"/>
    <col min="10" max="16384" width="11" style="23"/>
  </cols>
  <sheetData>
    <row r="1" spans="1:9" ht="19" x14ac:dyDescent="0.15">
      <c r="A1" s="20" t="s">
        <v>105</v>
      </c>
    </row>
    <row r="2" spans="1:9" ht="15" x14ac:dyDescent="0.15">
      <c r="A2" s="26" t="s">
        <v>50</v>
      </c>
      <c r="B2" s="53" t="str">
        <f ca="1">Project_Name</f>
        <v>Road Runner-2017</v>
      </c>
    </row>
    <row r="3" spans="1:9" ht="15" x14ac:dyDescent="0.15">
      <c r="A3" s="26" t="s">
        <v>51</v>
      </c>
      <c r="B3" s="53" t="s">
        <v>69</v>
      </c>
      <c r="C3" s="53" t="s">
        <v>155</v>
      </c>
    </row>
    <row r="4" spans="1:9" x14ac:dyDescent="0.15">
      <c r="D4" s="18"/>
      <c r="E4" s="18"/>
      <c r="F4" s="18"/>
    </row>
    <row r="5" spans="1:9" ht="14" customHeight="1" x14ac:dyDescent="0.15">
      <c r="A5" s="23" t="s">
        <v>249</v>
      </c>
      <c r="D5" s="53"/>
      <c r="E5" s="53"/>
      <c r="F5" s="53"/>
      <c r="G5" s="53"/>
    </row>
    <row r="6" spans="1:9" x14ac:dyDescent="0.15">
      <c r="A6" s="23" t="s">
        <v>250</v>
      </c>
      <c r="D6" s="53"/>
      <c r="E6" s="53"/>
      <c r="F6" s="53"/>
      <c r="G6" s="53"/>
    </row>
    <row r="7" spans="1:9" x14ac:dyDescent="0.15">
      <c r="A7" s="23" t="s">
        <v>251</v>
      </c>
      <c r="D7" s="53"/>
      <c r="E7" s="53"/>
      <c r="F7" s="53"/>
      <c r="G7" s="53"/>
    </row>
    <row r="8" spans="1:9" x14ac:dyDescent="0.15">
      <c r="A8" s="23" t="s">
        <v>75</v>
      </c>
      <c r="D8" s="53"/>
      <c r="E8" s="53"/>
      <c r="F8" s="53"/>
      <c r="G8" s="53"/>
    </row>
    <row r="9" spans="1:9" x14ac:dyDescent="0.15">
      <c r="A9" s="23" t="s">
        <v>76</v>
      </c>
      <c r="D9" s="53"/>
      <c r="E9" s="53"/>
      <c r="F9" s="53"/>
      <c r="G9" s="53"/>
    </row>
    <row r="11" spans="1:9" s="14" customFormat="1" ht="30" x14ac:dyDescent="0.2">
      <c r="A11" s="15" t="s">
        <v>53</v>
      </c>
      <c r="B11" s="15" t="s">
        <v>54</v>
      </c>
      <c r="C11" s="15" t="s">
        <v>55</v>
      </c>
      <c r="D11" s="19" t="s">
        <v>33</v>
      </c>
      <c r="E11" s="19" t="s">
        <v>56</v>
      </c>
      <c r="F11" s="19" t="s">
        <v>57</v>
      </c>
      <c r="G11" s="19" t="s">
        <v>58</v>
      </c>
      <c r="H11" s="17" t="s">
        <v>59</v>
      </c>
      <c r="I11" s="17" t="s">
        <v>60</v>
      </c>
    </row>
    <row r="12" spans="1:9" ht="26" x14ac:dyDescent="0.15">
      <c r="A12" s="53" t="s">
        <v>246</v>
      </c>
      <c r="B12" s="53" t="s">
        <v>89</v>
      </c>
      <c r="C12" s="53" t="s">
        <v>252</v>
      </c>
      <c r="D12" s="21">
        <f>MAX('Interior Demo'!E:E)</f>
        <v>0</v>
      </c>
      <c r="E12" s="21">
        <f>MAX(E13:E28)</f>
        <v>7.5</v>
      </c>
      <c r="H12" s="22">
        <f>SUM(H13:H29)</f>
        <v>5180</v>
      </c>
    </row>
    <row r="13" spans="1:9" x14ac:dyDescent="0.15">
      <c r="C13" s="27" t="s">
        <v>227</v>
      </c>
      <c r="D13" s="21">
        <f>D12+0.5</f>
        <v>0.5</v>
      </c>
      <c r="E13" s="21">
        <f>D13</f>
        <v>0.5</v>
      </c>
    </row>
    <row r="14" spans="1:9" x14ac:dyDescent="0.15">
      <c r="A14" s="23"/>
      <c r="C14" s="27" t="s">
        <v>228</v>
      </c>
      <c r="D14" s="21">
        <f t="shared" ref="D14:D26" si="0">D13+0.5</f>
        <v>1</v>
      </c>
      <c r="E14" s="21">
        <f t="shared" ref="E14:E28" si="1">D14</f>
        <v>1</v>
      </c>
      <c r="H14" s="22">
        <v>1320</v>
      </c>
    </row>
    <row r="15" spans="1:9" x14ac:dyDescent="0.15">
      <c r="C15" s="27" t="s">
        <v>229</v>
      </c>
      <c r="D15" s="21">
        <f t="shared" si="0"/>
        <v>1.5</v>
      </c>
      <c r="E15" s="21">
        <f t="shared" si="1"/>
        <v>1.5</v>
      </c>
      <c r="H15" s="22">
        <v>2800</v>
      </c>
    </row>
    <row r="16" spans="1:9" x14ac:dyDescent="0.15">
      <c r="C16" s="27" t="s">
        <v>230</v>
      </c>
      <c r="D16" s="21">
        <f t="shared" si="0"/>
        <v>2</v>
      </c>
      <c r="E16" s="21">
        <f t="shared" si="1"/>
        <v>2</v>
      </c>
    </row>
    <row r="17" spans="1:8" x14ac:dyDescent="0.15">
      <c r="C17" s="27" t="s">
        <v>231</v>
      </c>
      <c r="D17" s="21">
        <f t="shared" si="0"/>
        <v>2.5</v>
      </c>
      <c r="E17" s="21">
        <f t="shared" si="1"/>
        <v>2.5</v>
      </c>
    </row>
    <row r="18" spans="1:8" x14ac:dyDescent="0.15">
      <c r="C18" s="27" t="s">
        <v>232</v>
      </c>
      <c r="D18" s="21">
        <f t="shared" si="0"/>
        <v>3</v>
      </c>
      <c r="E18" s="21">
        <f t="shared" si="1"/>
        <v>3</v>
      </c>
    </row>
    <row r="19" spans="1:8" x14ac:dyDescent="0.15">
      <c r="C19" s="27" t="s">
        <v>233</v>
      </c>
      <c r="D19" s="21">
        <f t="shared" si="0"/>
        <v>3.5</v>
      </c>
      <c r="E19" s="21">
        <f t="shared" si="1"/>
        <v>3.5</v>
      </c>
    </row>
    <row r="20" spans="1:8" x14ac:dyDescent="0.15">
      <c r="C20" s="27" t="s">
        <v>234</v>
      </c>
      <c r="D20" s="21">
        <f t="shared" si="0"/>
        <v>4</v>
      </c>
      <c r="E20" s="21">
        <f t="shared" si="1"/>
        <v>4</v>
      </c>
    </row>
    <row r="21" spans="1:8" x14ac:dyDescent="0.15">
      <c r="C21" s="27" t="s">
        <v>235</v>
      </c>
      <c r="D21" s="21">
        <f t="shared" si="0"/>
        <v>4.5</v>
      </c>
      <c r="E21" s="21">
        <f t="shared" si="1"/>
        <v>4.5</v>
      </c>
    </row>
    <row r="22" spans="1:8" x14ac:dyDescent="0.15">
      <c r="C22" s="27" t="s">
        <v>236</v>
      </c>
      <c r="D22" s="21">
        <f t="shared" si="0"/>
        <v>5</v>
      </c>
      <c r="E22" s="21">
        <f t="shared" si="1"/>
        <v>5</v>
      </c>
    </row>
    <row r="23" spans="1:8" x14ac:dyDescent="0.15">
      <c r="C23" s="27" t="s">
        <v>238</v>
      </c>
      <c r="D23" s="21">
        <f t="shared" si="0"/>
        <v>5.5</v>
      </c>
      <c r="E23" s="21">
        <f t="shared" si="1"/>
        <v>5.5</v>
      </c>
    </row>
    <row r="24" spans="1:8" x14ac:dyDescent="0.15">
      <c r="C24" s="27" t="s">
        <v>239</v>
      </c>
      <c r="D24" s="21">
        <f t="shared" si="0"/>
        <v>6</v>
      </c>
      <c r="E24" s="21">
        <f t="shared" si="1"/>
        <v>6</v>
      </c>
    </row>
    <row r="25" spans="1:8" x14ac:dyDescent="0.15">
      <c r="C25" s="27" t="s">
        <v>240</v>
      </c>
      <c r="D25" s="21">
        <f t="shared" si="0"/>
        <v>6.5</v>
      </c>
      <c r="E25" s="21">
        <f t="shared" si="1"/>
        <v>6.5</v>
      </c>
    </row>
    <row r="26" spans="1:8" x14ac:dyDescent="0.15">
      <c r="C26" s="27" t="s">
        <v>241</v>
      </c>
      <c r="D26" s="21">
        <f t="shared" si="0"/>
        <v>7</v>
      </c>
      <c r="E26" s="21">
        <f t="shared" si="1"/>
        <v>7</v>
      </c>
    </row>
    <row r="27" spans="1:8" x14ac:dyDescent="0.15">
      <c r="A27" s="72"/>
      <c r="B27" s="72"/>
      <c r="C27" s="27" t="s">
        <v>370</v>
      </c>
      <c r="H27" s="22">
        <v>1060</v>
      </c>
    </row>
    <row r="28" spans="1:8" x14ac:dyDescent="0.15">
      <c r="C28" s="27" t="s">
        <v>242</v>
      </c>
      <c r="D28" s="21">
        <f>D26+0.5</f>
        <v>7.5</v>
      </c>
      <c r="E28" s="21">
        <f t="shared" si="1"/>
        <v>7.5</v>
      </c>
    </row>
    <row r="30" spans="1:8" x14ac:dyDescent="0.15">
      <c r="A30" s="53" t="s">
        <v>164</v>
      </c>
      <c r="B30" s="53" t="s">
        <v>89</v>
      </c>
      <c r="C30" s="53" t="s">
        <v>353</v>
      </c>
      <c r="H30" s="22">
        <v>0</v>
      </c>
    </row>
    <row r="32" spans="1:8" x14ac:dyDescent="0.15">
      <c r="A32" s="53" t="s">
        <v>248</v>
      </c>
      <c r="B32" s="53" t="s">
        <v>63</v>
      </c>
      <c r="C32" s="53" t="s">
        <v>247</v>
      </c>
      <c r="D32" s="21">
        <f>MAX(E12:E31)+1</f>
        <v>8.5</v>
      </c>
      <c r="E32" s="21">
        <f>D32+1</f>
        <v>9.5</v>
      </c>
      <c r="H32" s="22">
        <f>(E:E-D:D)*200</f>
        <v>200</v>
      </c>
    </row>
    <row r="34" spans="1:9" x14ac:dyDescent="0.15">
      <c r="A34" s="23" t="s">
        <v>66</v>
      </c>
      <c r="B34" s="53" t="s">
        <v>335</v>
      </c>
      <c r="C34" s="56" t="s">
        <v>335</v>
      </c>
      <c r="H34" s="22">
        <f>SUM(H12:H33)*5%</f>
        <v>528</v>
      </c>
    </row>
    <row r="35" spans="1:9" x14ac:dyDescent="0.15">
      <c r="A35" s="53" t="s">
        <v>68</v>
      </c>
      <c r="B35" s="53" t="s">
        <v>69</v>
      </c>
      <c r="C35" s="66" t="s">
        <v>70</v>
      </c>
    </row>
    <row r="36" spans="1:9" x14ac:dyDescent="0.15">
      <c r="B36" s="53" t="s">
        <v>69</v>
      </c>
      <c r="C36" s="66" t="s">
        <v>71</v>
      </c>
    </row>
    <row r="37" spans="1:9" x14ac:dyDescent="0.15">
      <c r="B37" s="53" t="s">
        <v>69</v>
      </c>
      <c r="C37" s="66" t="s">
        <v>72</v>
      </c>
    </row>
    <row r="38" spans="1:9" x14ac:dyDescent="0.15">
      <c r="C38" s="55"/>
    </row>
    <row r="39" spans="1:9" x14ac:dyDescent="0.15">
      <c r="C39" s="55"/>
    </row>
    <row r="40" spans="1:9" x14ac:dyDescent="0.15">
      <c r="C40" s="55"/>
    </row>
    <row r="41" spans="1:9" x14ac:dyDescent="0.15">
      <c r="C41" s="27"/>
    </row>
    <row r="42" spans="1:9" x14ac:dyDescent="0.15">
      <c r="C42" s="27"/>
    </row>
    <row r="43" spans="1:9" s="21" customFormat="1" x14ac:dyDescent="0.15">
      <c r="A43" s="53"/>
      <c r="B43" s="53"/>
      <c r="C43" s="53"/>
      <c r="H43" s="22"/>
      <c r="I43" s="22"/>
    </row>
    <row r="44" spans="1:9" s="21" customFormat="1" x14ac:dyDescent="0.15">
      <c r="A44" s="53"/>
      <c r="B44" s="53"/>
      <c r="C44" s="27"/>
      <c r="H44" s="22"/>
      <c r="I44" s="22"/>
    </row>
    <row r="45" spans="1:9" s="21" customFormat="1" x14ac:dyDescent="0.15">
      <c r="A45" s="53"/>
      <c r="B45" s="53"/>
      <c r="C45" s="53"/>
      <c r="H45" s="22"/>
      <c r="I45" s="22"/>
    </row>
    <row r="47" spans="1:9" x14ac:dyDescent="0.15">
      <c r="C47" s="27"/>
    </row>
    <row r="48" spans="1:9" x14ac:dyDescent="0.15">
      <c r="C48" s="27"/>
    </row>
    <row r="49" spans="3:3" x14ac:dyDescent="0.15">
      <c r="C49" s="27"/>
    </row>
    <row r="50" spans="3:3" x14ac:dyDescent="0.15">
      <c r="C50" s="27"/>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Layout" workbookViewId="0">
      <selection activeCell="H18" sqref="H18"/>
    </sheetView>
  </sheetViews>
  <sheetFormatPr baseColWidth="10" defaultColWidth="11" defaultRowHeight="13" x14ac:dyDescent="0.15"/>
  <cols>
    <col min="1" max="1" width="13.19921875" style="67" customWidth="1"/>
    <col min="2" max="2" width="20.796875" style="67" customWidth="1"/>
    <col min="3" max="3" width="49" style="67" customWidth="1"/>
    <col min="4" max="7" width="11" style="21"/>
    <col min="8" max="9" width="11" style="22"/>
    <col min="10" max="16384" width="11" style="23"/>
  </cols>
  <sheetData>
    <row r="1" spans="1:9" ht="19" x14ac:dyDescent="0.15">
      <c r="A1" s="20" t="s">
        <v>254</v>
      </c>
    </row>
    <row r="2" spans="1:9" ht="15" x14ac:dyDescent="0.15">
      <c r="A2" s="26" t="s">
        <v>50</v>
      </c>
      <c r="B2" s="67" t="str">
        <f ca="1">Project_Name</f>
        <v>Road Runner-2017</v>
      </c>
    </row>
    <row r="3" spans="1:9" ht="15" x14ac:dyDescent="0.15">
      <c r="A3" s="26" t="s">
        <v>51</v>
      </c>
      <c r="B3" s="67" t="s">
        <v>69</v>
      </c>
      <c r="C3" s="67" t="s">
        <v>155</v>
      </c>
    </row>
    <row r="4" spans="1:9" x14ac:dyDescent="0.15">
      <c r="D4" s="18"/>
      <c r="E4" s="18"/>
      <c r="F4" s="18"/>
    </row>
    <row r="5" spans="1:9" ht="14" customHeight="1" x14ac:dyDescent="0.15">
      <c r="A5" s="23" t="s">
        <v>255</v>
      </c>
      <c r="D5" s="67"/>
      <c r="E5" s="67"/>
      <c r="F5" s="67"/>
      <c r="G5" s="67"/>
    </row>
    <row r="6" spans="1:9" x14ac:dyDescent="0.15">
      <c r="A6" s="23" t="s">
        <v>250</v>
      </c>
      <c r="D6" s="67"/>
      <c r="E6" s="67"/>
      <c r="F6" s="67"/>
      <c r="G6" s="67"/>
    </row>
    <row r="7" spans="1:9" x14ac:dyDescent="0.15">
      <c r="A7" s="23"/>
      <c r="D7" s="67"/>
      <c r="E7" s="67"/>
      <c r="F7" s="67"/>
      <c r="G7" s="67"/>
    </row>
    <row r="8" spans="1:9" x14ac:dyDescent="0.15">
      <c r="A8" s="23" t="s">
        <v>75</v>
      </c>
      <c r="D8" s="67"/>
      <c r="E8" s="67"/>
      <c r="F8" s="67"/>
      <c r="G8" s="67"/>
    </row>
    <row r="9" spans="1:9" x14ac:dyDescent="0.15">
      <c r="A9" s="23" t="s">
        <v>76</v>
      </c>
      <c r="D9" s="67"/>
      <c r="E9" s="67"/>
      <c r="F9" s="67"/>
      <c r="G9" s="67"/>
    </row>
    <row r="11" spans="1:9" s="14" customFormat="1" ht="30" x14ac:dyDescent="0.2">
      <c r="A11" s="15" t="s">
        <v>53</v>
      </c>
      <c r="B11" s="15" t="s">
        <v>54</v>
      </c>
      <c r="C11" s="15" t="s">
        <v>55</v>
      </c>
      <c r="D11" s="19" t="s">
        <v>33</v>
      </c>
      <c r="E11" s="19" t="s">
        <v>56</v>
      </c>
      <c r="F11" s="19" t="s">
        <v>57</v>
      </c>
      <c r="G11" s="19" t="s">
        <v>58</v>
      </c>
      <c r="H11" s="17" t="s">
        <v>59</v>
      </c>
      <c r="I11" s="17" t="s">
        <v>60</v>
      </c>
    </row>
    <row r="12" spans="1:9" x14ac:dyDescent="0.15">
      <c r="A12" s="67" t="s">
        <v>246</v>
      </c>
      <c r="B12" s="67" t="s">
        <v>89</v>
      </c>
      <c r="C12" s="67" t="s">
        <v>261</v>
      </c>
      <c r="D12" s="21">
        <f>MAX('Interior Demo'!E:E)</f>
        <v>0</v>
      </c>
      <c r="E12" s="21">
        <f>MAX(E13:E27)</f>
        <v>7.5</v>
      </c>
      <c r="H12" s="22">
        <f>SUM(H13:H27)</f>
        <v>12134.880000000001</v>
      </c>
    </row>
    <row r="13" spans="1:9" x14ac:dyDescent="0.15">
      <c r="C13" s="27" t="s">
        <v>360</v>
      </c>
      <c r="D13" s="21">
        <f>D12+0.5</f>
        <v>0.5</v>
      </c>
      <c r="E13" s="21">
        <f>D13</f>
        <v>0.5</v>
      </c>
    </row>
    <row r="14" spans="1:9" x14ac:dyDescent="0.15">
      <c r="A14" s="23"/>
      <c r="C14" s="27" t="s">
        <v>361</v>
      </c>
      <c r="D14" s="21">
        <f t="shared" ref="D14:D27" si="0">D13+0.5</f>
        <v>1</v>
      </c>
      <c r="E14" s="21">
        <f t="shared" ref="E14:E27" si="1">D14</f>
        <v>1</v>
      </c>
      <c r="H14" s="22">
        <v>5150.16</v>
      </c>
    </row>
    <row r="15" spans="1:9" x14ac:dyDescent="0.15">
      <c r="C15" s="27" t="s">
        <v>362</v>
      </c>
      <c r="D15" s="21">
        <f t="shared" si="0"/>
        <v>1.5</v>
      </c>
      <c r="E15" s="21">
        <f t="shared" si="1"/>
        <v>1.5</v>
      </c>
      <c r="H15" s="22">
        <v>5103.72</v>
      </c>
    </row>
    <row r="16" spans="1:9" x14ac:dyDescent="0.15">
      <c r="C16" s="27" t="s">
        <v>363</v>
      </c>
      <c r="D16" s="21">
        <f t="shared" si="0"/>
        <v>2</v>
      </c>
      <c r="E16" s="21">
        <f t="shared" si="1"/>
        <v>2</v>
      </c>
      <c r="H16" s="22">
        <v>300</v>
      </c>
    </row>
    <row r="17" spans="1:8" x14ac:dyDescent="0.15">
      <c r="C17" s="27" t="s">
        <v>364</v>
      </c>
      <c r="D17" s="21">
        <f t="shared" si="0"/>
        <v>2.5</v>
      </c>
      <c r="E17" s="21">
        <f t="shared" si="1"/>
        <v>2.5</v>
      </c>
      <c r="H17" s="22">
        <v>1581</v>
      </c>
    </row>
    <row r="18" spans="1:8" x14ac:dyDescent="0.15">
      <c r="C18" s="27" t="s">
        <v>365</v>
      </c>
      <c r="D18" s="21">
        <f t="shared" si="0"/>
        <v>3</v>
      </c>
      <c r="E18" s="21">
        <f t="shared" si="1"/>
        <v>3</v>
      </c>
    </row>
    <row r="19" spans="1:8" x14ac:dyDescent="0.15">
      <c r="C19" s="27" t="s">
        <v>366</v>
      </c>
      <c r="D19" s="21">
        <f t="shared" si="0"/>
        <v>3.5</v>
      </c>
      <c r="E19" s="21">
        <f t="shared" si="1"/>
        <v>3.5</v>
      </c>
    </row>
    <row r="20" spans="1:8" x14ac:dyDescent="0.15">
      <c r="C20" s="27" t="s">
        <v>367</v>
      </c>
      <c r="D20" s="21">
        <f t="shared" si="0"/>
        <v>4</v>
      </c>
      <c r="E20" s="21">
        <f t="shared" si="1"/>
        <v>4</v>
      </c>
    </row>
    <row r="21" spans="1:8" x14ac:dyDescent="0.15">
      <c r="C21" s="27" t="s">
        <v>368</v>
      </c>
      <c r="D21" s="21">
        <f t="shared" si="0"/>
        <v>4.5</v>
      </c>
      <c r="E21" s="21">
        <f t="shared" si="1"/>
        <v>4.5</v>
      </c>
    </row>
    <row r="22" spans="1:8" x14ac:dyDescent="0.15">
      <c r="C22" s="27" t="s">
        <v>369</v>
      </c>
      <c r="D22" s="21">
        <f t="shared" si="0"/>
        <v>5</v>
      </c>
      <c r="E22" s="21">
        <f t="shared" si="1"/>
        <v>5</v>
      </c>
    </row>
    <row r="23" spans="1:8" x14ac:dyDescent="0.15">
      <c r="C23" s="27" t="s">
        <v>256</v>
      </c>
      <c r="D23" s="21">
        <f t="shared" si="0"/>
        <v>5.5</v>
      </c>
      <c r="E23" s="21">
        <f t="shared" si="1"/>
        <v>5.5</v>
      </c>
    </row>
    <row r="24" spans="1:8" x14ac:dyDescent="0.15">
      <c r="C24" s="27" t="s">
        <v>257</v>
      </c>
      <c r="D24" s="21">
        <f t="shared" si="0"/>
        <v>6</v>
      </c>
      <c r="E24" s="21">
        <f t="shared" si="1"/>
        <v>6</v>
      </c>
    </row>
    <row r="25" spans="1:8" x14ac:dyDescent="0.15">
      <c r="C25" s="27" t="s">
        <v>258</v>
      </c>
      <c r="D25" s="21">
        <f t="shared" si="0"/>
        <v>6.5</v>
      </c>
      <c r="E25" s="21">
        <f t="shared" si="1"/>
        <v>6.5</v>
      </c>
    </row>
    <row r="26" spans="1:8" x14ac:dyDescent="0.15">
      <c r="C26" s="27" t="s">
        <v>259</v>
      </c>
      <c r="D26" s="21">
        <f t="shared" si="0"/>
        <v>7</v>
      </c>
      <c r="E26" s="21">
        <f t="shared" si="1"/>
        <v>7</v>
      </c>
    </row>
    <row r="27" spans="1:8" x14ac:dyDescent="0.15">
      <c r="C27" s="27" t="s">
        <v>260</v>
      </c>
      <c r="D27" s="21">
        <f t="shared" si="0"/>
        <v>7.5</v>
      </c>
      <c r="E27" s="21">
        <f t="shared" si="1"/>
        <v>7.5</v>
      </c>
    </row>
    <row r="29" spans="1:8" s="22" customFormat="1" x14ac:dyDescent="0.15">
      <c r="A29" s="23" t="s">
        <v>66</v>
      </c>
      <c r="B29" s="67" t="s">
        <v>335</v>
      </c>
      <c r="C29" s="56" t="s">
        <v>335</v>
      </c>
      <c r="D29" s="21"/>
      <c r="E29" s="21"/>
      <c r="F29" s="21"/>
      <c r="G29" s="21"/>
      <c r="H29" s="22">
        <f>SUM(H12:H28)*5%</f>
        <v>1213.4880000000001</v>
      </c>
    </row>
    <row r="30" spans="1:8" s="22" customFormat="1" x14ac:dyDescent="0.15">
      <c r="A30" s="67" t="s">
        <v>68</v>
      </c>
      <c r="B30" s="67" t="s">
        <v>69</v>
      </c>
      <c r="C30" s="66" t="s">
        <v>70</v>
      </c>
      <c r="D30" s="21"/>
      <c r="E30" s="21"/>
      <c r="F30" s="21"/>
      <c r="G30" s="21"/>
    </row>
    <row r="31" spans="1:8" s="22" customFormat="1" x14ac:dyDescent="0.15">
      <c r="A31" s="67"/>
      <c r="B31" s="67" t="s">
        <v>69</v>
      </c>
      <c r="C31" s="66" t="s">
        <v>71</v>
      </c>
      <c r="D31" s="21"/>
      <c r="E31" s="21"/>
      <c r="F31" s="21"/>
      <c r="G31" s="21"/>
    </row>
    <row r="32" spans="1:8" s="22" customFormat="1" x14ac:dyDescent="0.15">
      <c r="A32" s="67"/>
      <c r="B32" s="67" t="s">
        <v>69</v>
      </c>
      <c r="C32" s="66" t="s">
        <v>72</v>
      </c>
      <c r="D32" s="21"/>
      <c r="E32" s="21"/>
      <c r="F32" s="21"/>
      <c r="G32" s="21"/>
    </row>
    <row r="33" spans="1:9" s="22" customFormat="1" x14ac:dyDescent="0.15">
      <c r="A33" s="67"/>
      <c r="B33" s="67"/>
      <c r="C33" s="55"/>
      <c r="D33" s="21"/>
      <c r="E33" s="21"/>
      <c r="F33" s="21"/>
      <c r="G33" s="21"/>
    </row>
    <row r="34" spans="1:9" s="22" customFormat="1" x14ac:dyDescent="0.15">
      <c r="A34" s="67"/>
      <c r="B34" s="67"/>
      <c r="C34" s="55"/>
      <c r="D34" s="21"/>
      <c r="E34" s="21"/>
      <c r="F34" s="21"/>
      <c r="G34" s="21"/>
    </row>
    <row r="35" spans="1:9" s="22" customFormat="1" x14ac:dyDescent="0.15">
      <c r="A35" s="67"/>
      <c r="B35" s="67"/>
      <c r="C35" s="55"/>
      <c r="D35" s="21"/>
      <c r="E35" s="21"/>
      <c r="F35" s="21"/>
      <c r="G35" s="21"/>
    </row>
    <row r="36" spans="1:9" x14ac:dyDescent="0.15">
      <c r="C36" s="27"/>
    </row>
    <row r="37" spans="1:9" x14ac:dyDescent="0.15">
      <c r="C37" s="27"/>
    </row>
    <row r="38" spans="1:9" s="21" customFormat="1" x14ac:dyDescent="0.15">
      <c r="A38" s="67"/>
      <c r="B38" s="67"/>
      <c r="C38" s="67"/>
      <c r="H38" s="22"/>
      <c r="I38" s="22"/>
    </row>
    <row r="39" spans="1:9" s="21" customFormat="1" x14ac:dyDescent="0.15">
      <c r="A39" s="67"/>
      <c r="B39" s="67"/>
      <c r="C39" s="27"/>
      <c r="H39" s="22"/>
      <c r="I39" s="22"/>
    </row>
    <row r="40" spans="1:9" s="21" customFormat="1" x14ac:dyDescent="0.15">
      <c r="A40" s="67"/>
      <c r="B40" s="67"/>
      <c r="C40" s="67"/>
      <c r="H40" s="22"/>
      <c r="I40" s="22"/>
    </row>
    <row r="42" spans="1:9" x14ac:dyDescent="0.15">
      <c r="C42" s="27"/>
    </row>
    <row r="43" spans="1:9" x14ac:dyDescent="0.15">
      <c r="C43" s="27"/>
    </row>
    <row r="44" spans="1:9" x14ac:dyDescent="0.15">
      <c r="C44" s="27"/>
    </row>
    <row r="45" spans="1:9" x14ac:dyDescent="0.15">
      <c r="C45" s="27"/>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Layout" workbookViewId="0">
      <selection activeCell="H29" sqref="H29"/>
    </sheetView>
  </sheetViews>
  <sheetFormatPr baseColWidth="10" defaultColWidth="11" defaultRowHeight="13" x14ac:dyDescent="0.15"/>
  <cols>
    <col min="1" max="1" width="13.19921875" style="67" customWidth="1"/>
    <col min="2" max="2" width="20.796875" style="67" customWidth="1"/>
    <col min="3" max="3" width="49" style="67" customWidth="1"/>
    <col min="4" max="7" width="11" style="21"/>
    <col min="8" max="9" width="11" style="22"/>
    <col min="10" max="16384" width="11" style="23"/>
  </cols>
  <sheetData>
    <row r="1" spans="1:9" ht="19" x14ac:dyDescent="0.15">
      <c r="A1" s="20" t="s">
        <v>227</v>
      </c>
    </row>
    <row r="2" spans="1:9" ht="15" x14ac:dyDescent="0.15">
      <c r="A2" s="26" t="s">
        <v>50</v>
      </c>
      <c r="B2" s="67" t="str">
        <f ca="1">Project_Name</f>
        <v>Road Runner-2017</v>
      </c>
    </row>
    <row r="3" spans="1:9" ht="15" x14ac:dyDescent="0.15">
      <c r="A3" s="26" t="s">
        <v>51</v>
      </c>
      <c r="B3" s="67" t="s">
        <v>69</v>
      </c>
      <c r="C3" s="67" t="s">
        <v>155</v>
      </c>
    </row>
    <row r="4" spans="1:9" x14ac:dyDescent="0.15">
      <c r="D4" s="18"/>
      <c r="E4" s="18"/>
      <c r="F4" s="18"/>
    </row>
    <row r="5" spans="1:9" ht="14" customHeight="1" x14ac:dyDescent="0.15">
      <c r="A5" s="23" t="s">
        <v>253</v>
      </c>
      <c r="D5" s="67"/>
      <c r="E5" s="67"/>
      <c r="F5" s="67"/>
      <c r="G5" s="67"/>
    </row>
    <row r="6" spans="1:9" x14ac:dyDescent="0.15">
      <c r="A6" s="23"/>
      <c r="D6" s="67"/>
      <c r="E6" s="67"/>
      <c r="F6" s="67"/>
      <c r="G6" s="67"/>
    </row>
    <row r="7" spans="1:9" x14ac:dyDescent="0.15">
      <c r="A7" s="23"/>
      <c r="D7" s="67"/>
      <c r="E7" s="67"/>
      <c r="F7" s="67"/>
      <c r="G7" s="67"/>
    </row>
    <row r="8" spans="1:9" x14ac:dyDescent="0.15">
      <c r="A8" s="23" t="s">
        <v>75</v>
      </c>
      <c r="D8" s="67"/>
      <c r="E8" s="67"/>
      <c r="F8" s="67"/>
      <c r="G8" s="67"/>
    </row>
    <row r="9" spans="1:9" x14ac:dyDescent="0.15">
      <c r="A9" s="23" t="s">
        <v>76</v>
      </c>
      <c r="D9" s="67"/>
      <c r="E9" s="67"/>
      <c r="F9" s="67"/>
      <c r="G9" s="67"/>
    </row>
    <row r="11" spans="1:9" s="14" customFormat="1" ht="30" x14ac:dyDescent="0.2">
      <c r="A11" s="15" t="s">
        <v>53</v>
      </c>
      <c r="B11" s="15" t="s">
        <v>54</v>
      </c>
      <c r="C11" s="15" t="s">
        <v>55</v>
      </c>
      <c r="D11" s="19" t="s">
        <v>33</v>
      </c>
      <c r="E11" s="19" t="s">
        <v>56</v>
      </c>
      <c r="F11" s="19" t="s">
        <v>57</v>
      </c>
      <c r="G11" s="19" t="s">
        <v>58</v>
      </c>
      <c r="H11" s="17" t="s">
        <v>59</v>
      </c>
      <c r="I11" s="17" t="s">
        <v>60</v>
      </c>
    </row>
    <row r="12" spans="1:9" x14ac:dyDescent="0.15">
      <c r="A12" s="67" t="s">
        <v>262</v>
      </c>
      <c r="B12" s="67" t="s">
        <v>89</v>
      </c>
      <c r="C12" s="67" t="s">
        <v>371</v>
      </c>
      <c r="D12" s="21">
        <f>MAX('Interior Demo'!E:E)</f>
        <v>0</v>
      </c>
      <c r="E12" s="21">
        <f>MAX(E15:E27)</f>
        <v>6</v>
      </c>
      <c r="H12" s="22">
        <v>2000</v>
      </c>
    </row>
    <row r="13" spans="1:9" x14ac:dyDescent="0.15">
      <c r="A13" s="72"/>
      <c r="B13" s="72"/>
      <c r="C13" s="27" t="s">
        <v>372</v>
      </c>
    </row>
    <row r="14" spans="1:9" x14ac:dyDescent="0.15">
      <c r="A14" s="72"/>
      <c r="B14" s="72"/>
      <c r="C14" s="27" t="s">
        <v>373</v>
      </c>
    </row>
    <row r="15" spans="1:9" x14ac:dyDescent="0.15">
      <c r="A15" s="67" t="s">
        <v>263</v>
      </c>
      <c r="B15" s="67" t="s">
        <v>89</v>
      </c>
      <c r="C15" s="33" t="s">
        <v>264</v>
      </c>
      <c r="D15" s="21">
        <f>D12+0.5</f>
        <v>0.5</v>
      </c>
      <c r="E15" s="21">
        <f>D15</f>
        <v>0.5</v>
      </c>
      <c r="H15" s="22" t="s">
        <v>69</v>
      </c>
    </row>
    <row r="16" spans="1:9" x14ac:dyDescent="0.15">
      <c r="A16" s="72" t="s">
        <v>375</v>
      </c>
      <c r="B16" s="72" t="s">
        <v>89</v>
      </c>
      <c r="C16" s="33" t="s">
        <v>376</v>
      </c>
      <c r="D16" s="21">
        <f>D13+0.5</f>
        <v>0.5</v>
      </c>
      <c r="E16" s="21">
        <f>D16</f>
        <v>0.5</v>
      </c>
      <c r="H16" s="22" t="s">
        <v>69</v>
      </c>
    </row>
    <row r="17" spans="1:8" ht="26" x14ac:dyDescent="0.15">
      <c r="A17" s="23" t="s">
        <v>265</v>
      </c>
      <c r="B17" s="67" t="s">
        <v>89</v>
      </c>
      <c r="C17" s="33" t="s">
        <v>266</v>
      </c>
      <c r="D17" s="21">
        <f>D15+0.5</f>
        <v>1</v>
      </c>
      <c r="E17" s="21">
        <f t="shared" ref="E17:E27" si="0">D17</f>
        <v>1</v>
      </c>
      <c r="H17" s="22">
        <f>SUM(H18:H19)</f>
        <v>0</v>
      </c>
    </row>
    <row r="18" spans="1:8" x14ac:dyDescent="0.15">
      <c r="C18" s="27" t="s">
        <v>267</v>
      </c>
      <c r="D18" s="21">
        <f t="shared" ref="D18:D27" si="1">D17+0.5</f>
        <v>1.5</v>
      </c>
      <c r="E18" s="21">
        <f t="shared" si="0"/>
        <v>1.5</v>
      </c>
      <c r="H18" s="22" t="s">
        <v>69</v>
      </c>
    </row>
    <row r="19" spans="1:8" x14ac:dyDescent="0.15">
      <c r="C19" s="27" t="s">
        <v>268</v>
      </c>
      <c r="D19" s="21">
        <f t="shared" si="1"/>
        <v>2</v>
      </c>
      <c r="E19" s="21">
        <f t="shared" si="0"/>
        <v>2</v>
      </c>
      <c r="H19" s="22">
        <v>0</v>
      </c>
    </row>
    <row r="20" spans="1:8" x14ac:dyDescent="0.15">
      <c r="A20" s="67" t="s">
        <v>269</v>
      </c>
      <c r="B20" s="67" t="s">
        <v>89</v>
      </c>
      <c r="C20" s="33" t="s">
        <v>374</v>
      </c>
      <c r="D20" s="21">
        <f t="shared" si="1"/>
        <v>2.5</v>
      </c>
      <c r="E20" s="21">
        <f t="shared" si="0"/>
        <v>2.5</v>
      </c>
      <c r="H20" s="22">
        <f>SUM(H21:H27)+700</f>
        <v>3700</v>
      </c>
    </row>
    <row r="21" spans="1:8" x14ac:dyDescent="0.15">
      <c r="C21" s="27" t="s">
        <v>270</v>
      </c>
      <c r="D21" s="21">
        <f t="shared" si="1"/>
        <v>3</v>
      </c>
      <c r="E21" s="21">
        <f t="shared" si="0"/>
        <v>3</v>
      </c>
      <c r="H21" s="22">
        <v>500</v>
      </c>
    </row>
    <row r="22" spans="1:8" x14ac:dyDescent="0.15">
      <c r="C22" s="27" t="s">
        <v>271</v>
      </c>
      <c r="D22" s="21">
        <f t="shared" si="1"/>
        <v>3.5</v>
      </c>
      <c r="E22" s="21">
        <f t="shared" si="0"/>
        <v>3.5</v>
      </c>
      <c r="H22" s="22">
        <v>800</v>
      </c>
    </row>
    <row r="23" spans="1:8" x14ac:dyDescent="0.15">
      <c r="C23" s="27" t="s">
        <v>272</v>
      </c>
      <c r="D23" s="21">
        <f t="shared" si="1"/>
        <v>4</v>
      </c>
      <c r="E23" s="21">
        <f t="shared" si="0"/>
        <v>4</v>
      </c>
      <c r="H23" s="22">
        <v>800</v>
      </c>
    </row>
    <row r="24" spans="1:8" x14ac:dyDescent="0.15">
      <c r="C24" s="27" t="s">
        <v>273</v>
      </c>
      <c r="D24" s="21">
        <f t="shared" si="1"/>
        <v>4.5</v>
      </c>
      <c r="E24" s="21">
        <f t="shared" si="0"/>
        <v>4.5</v>
      </c>
      <c r="H24" s="22">
        <v>0</v>
      </c>
    </row>
    <row r="25" spans="1:8" x14ac:dyDescent="0.15">
      <c r="C25" s="27" t="s">
        <v>274</v>
      </c>
      <c r="D25" s="21">
        <f t="shared" si="1"/>
        <v>5</v>
      </c>
      <c r="E25" s="21">
        <f t="shared" si="0"/>
        <v>5</v>
      </c>
      <c r="H25" s="22">
        <v>50</v>
      </c>
    </row>
    <row r="26" spans="1:8" x14ac:dyDescent="0.15">
      <c r="C26" s="27" t="s">
        <v>275</v>
      </c>
      <c r="D26" s="21">
        <f t="shared" si="1"/>
        <v>5.5</v>
      </c>
      <c r="E26" s="21">
        <f t="shared" si="0"/>
        <v>5.5</v>
      </c>
      <c r="H26" s="22">
        <v>150</v>
      </c>
    </row>
    <row r="27" spans="1:8" x14ac:dyDescent="0.15">
      <c r="C27" s="27" t="s">
        <v>276</v>
      </c>
      <c r="D27" s="21">
        <f t="shared" si="1"/>
        <v>6</v>
      </c>
      <c r="E27" s="21">
        <f t="shared" si="0"/>
        <v>6</v>
      </c>
      <c r="H27" s="22">
        <v>700</v>
      </c>
    </row>
    <row r="28" spans="1:8" s="22" customFormat="1" x14ac:dyDescent="0.15">
      <c r="A28" s="23" t="s">
        <v>66</v>
      </c>
      <c r="B28" s="67" t="s">
        <v>335</v>
      </c>
      <c r="C28" s="56" t="s">
        <v>335</v>
      </c>
      <c r="D28" s="21"/>
      <c r="E28" s="21"/>
      <c r="F28" s="21"/>
      <c r="G28" s="21"/>
      <c r="H28" s="22">
        <f>SUM(H12:H27)*5%</f>
        <v>435</v>
      </c>
    </row>
    <row r="29" spans="1:8" s="22" customFormat="1" x14ac:dyDescent="0.15">
      <c r="A29" s="67" t="s">
        <v>68</v>
      </c>
      <c r="B29" s="67" t="s">
        <v>69</v>
      </c>
      <c r="C29" s="66" t="s">
        <v>70</v>
      </c>
      <c r="D29" s="21"/>
      <c r="E29" s="21"/>
      <c r="F29" s="21"/>
      <c r="G29" s="21"/>
    </row>
    <row r="30" spans="1:8" s="22" customFormat="1" x14ac:dyDescent="0.15">
      <c r="A30" s="67"/>
      <c r="B30" s="67" t="s">
        <v>69</v>
      </c>
      <c r="C30" s="66" t="s">
        <v>71</v>
      </c>
      <c r="D30" s="21"/>
      <c r="E30" s="21"/>
      <c r="F30" s="21"/>
      <c r="G30" s="21"/>
    </row>
    <row r="31" spans="1:8" s="22" customFormat="1" x14ac:dyDescent="0.15">
      <c r="A31" s="67"/>
      <c r="B31" s="67" t="s">
        <v>69</v>
      </c>
      <c r="C31" s="66" t="s">
        <v>72</v>
      </c>
      <c r="D31" s="21"/>
      <c r="E31" s="21"/>
      <c r="F31" s="21"/>
      <c r="G31" s="21"/>
    </row>
    <row r="32" spans="1:8" s="22" customFormat="1" x14ac:dyDescent="0.15">
      <c r="A32" s="67"/>
      <c r="B32" s="67"/>
      <c r="C32" s="55"/>
      <c r="D32" s="21"/>
      <c r="E32" s="21"/>
      <c r="F32" s="21"/>
      <c r="G32" s="21"/>
    </row>
    <row r="33" spans="1:9" s="22" customFormat="1" x14ac:dyDescent="0.15">
      <c r="A33" s="67"/>
      <c r="B33" s="67"/>
      <c r="C33" s="55"/>
      <c r="D33" s="21"/>
      <c r="E33" s="21"/>
      <c r="F33" s="21"/>
      <c r="G33" s="21"/>
    </row>
    <row r="34" spans="1:9" s="22" customFormat="1" x14ac:dyDescent="0.15">
      <c r="A34" s="67"/>
      <c r="B34" s="67"/>
      <c r="C34" s="55"/>
      <c r="D34" s="21"/>
      <c r="E34" s="21"/>
      <c r="F34" s="21"/>
      <c r="G34" s="21"/>
    </row>
    <row r="35" spans="1:9" x14ac:dyDescent="0.15">
      <c r="C35" s="27"/>
    </row>
    <row r="36" spans="1:9" x14ac:dyDescent="0.15">
      <c r="C36" s="27"/>
    </row>
    <row r="37" spans="1:9" s="21" customFormat="1" x14ac:dyDescent="0.15">
      <c r="A37" s="67"/>
      <c r="B37" s="67"/>
      <c r="C37" s="67"/>
      <c r="H37" s="22"/>
      <c r="I37" s="22"/>
    </row>
    <row r="38" spans="1:9" s="21" customFormat="1" x14ac:dyDescent="0.15">
      <c r="A38" s="67"/>
      <c r="B38" s="67"/>
      <c r="C38" s="27"/>
      <c r="H38" s="22"/>
      <c r="I38" s="22"/>
    </row>
    <row r="39" spans="1:9" s="21" customFormat="1" x14ac:dyDescent="0.15">
      <c r="A39" s="67"/>
      <c r="B39" s="67"/>
      <c r="C39" s="67"/>
      <c r="H39" s="22"/>
      <c r="I39" s="22"/>
    </row>
    <row r="41" spans="1:9" x14ac:dyDescent="0.15">
      <c r="C41" s="27"/>
    </row>
    <row r="42" spans="1:9" x14ac:dyDescent="0.15">
      <c r="C42" s="27"/>
    </row>
    <row r="43" spans="1:9" x14ac:dyDescent="0.15">
      <c r="C43" s="27"/>
    </row>
    <row r="44" spans="1:9" x14ac:dyDescent="0.15">
      <c r="C44" s="27"/>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view="pageLayout" workbookViewId="0">
      <selection activeCell="D40" sqref="D40"/>
    </sheetView>
  </sheetViews>
  <sheetFormatPr baseColWidth="10" defaultColWidth="11" defaultRowHeight="13" x14ac:dyDescent="0.15"/>
  <cols>
    <col min="1" max="1" width="13.19921875" style="69" customWidth="1"/>
    <col min="2" max="2" width="20.796875" style="69" customWidth="1"/>
    <col min="3" max="3" width="49" style="69" customWidth="1"/>
    <col min="4" max="7" width="11" style="21"/>
    <col min="8" max="9" width="11" style="22"/>
    <col min="10" max="16384" width="11" style="23"/>
  </cols>
  <sheetData>
    <row r="1" spans="1:9" ht="19" x14ac:dyDescent="0.15">
      <c r="A1" s="20" t="s">
        <v>277</v>
      </c>
    </row>
    <row r="2" spans="1:9" ht="15" x14ac:dyDescent="0.15">
      <c r="A2" s="26" t="s">
        <v>50</v>
      </c>
      <c r="B2" s="69" t="str">
        <f ca="1">Project_Name</f>
        <v>Road Runner-2017</v>
      </c>
    </row>
    <row r="3" spans="1:9" ht="15" x14ac:dyDescent="0.15">
      <c r="A3" s="26" t="s">
        <v>51</v>
      </c>
      <c r="B3" s="69" t="s">
        <v>69</v>
      </c>
      <c r="C3" s="69" t="s">
        <v>155</v>
      </c>
    </row>
    <row r="4" spans="1:9" x14ac:dyDescent="0.15">
      <c r="D4" s="18"/>
      <c r="E4" s="18"/>
      <c r="F4" s="18"/>
    </row>
    <row r="5" spans="1:9" ht="14" customHeight="1" x14ac:dyDescent="0.15">
      <c r="A5" s="23" t="s">
        <v>278</v>
      </c>
      <c r="D5" s="69"/>
      <c r="E5" s="69"/>
      <c r="F5" s="69"/>
      <c r="G5" s="69"/>
    </row>
    <row r="6" spans="1:9" x14ac:dyDescent="0.15">
      <c r="A6" s="23"/>
      <c r="D6" s="69"/>
      <c r="E6" s="69"/>
      <c r="F6" s="69"/>
      <c r="G6" s="69"/>
    </row>
    <row r="7" spans="1:9" x14ac:dyDescent="0.15">
      <c r="A7" s="23"/>
      <c r="D7" s="69"/>
      <c r="E7" s="69"/>
      <c r="F7" s="69"/>
      <c r="G7" s="69"/>
    </row>
    <row r="8" spans="1:9" x14ac:dyDescent="0.15">
      <c r="A8" s="23" t="s">
        <v>75</v>
      </c>
      <c r="D8" s="69"/>
      <c r="E8" s="69"/>
      <c r="F8" s="69"/>
      <c r="G8" s="69"/>
    </row>
    <row r="9" spans="1:9" x14ac:dyDescent="0.15">
      <c r="A9" s="23" t="s">
        <v>76</v>
      </c>
      <c r="D9" s="69"/>
      <c r="E9" s="69"/>
      <c r="F9" s="69"/>
      <c r="G9" s="69"/>
    </row>
    <row r="11" spans="1:9" s="14" customFormat="1" ht="30" x14ac:dyDescent="0.2">
      <c r="A11" s="15" t="s">
        <v>53</v>
      </c>
      <c r="B11" s="15" t="s">
        <v>54</v>
      </c>
      <c r="C11" s="15" t="s">
        <v>55</v>
      </c>
      <c r="D11" s="19" t="s">
        <v>33</v>
      </c>
      <c r="E11" s="19" t="s">
        <v>56</v>
      </c>
      <c r="F11" s="19" t="s">
        <v>57</v>
      </c>
      <c r="G11" s="19" t="s">
        <v>58</v>
      </c>
      <c r="H11" s="17" t="s">
        <v>59</v>
      </c>
      <c r="I11" s="17" t="s">
        <v>60</v>
      </c>
    </row>
    <row r="12" spans="1:9" s="14" customFormat="1" x14ac:dyDescent="0.15">
      <c r="A12" s="69" t="s">
        <v>279</v>
      </c>
      <c r="B12" s="69"/>
      <c r="C12" s="69" t="s">
        <v>381</v>
      </c>
      <c r="D12" s="21">
        <f>MAX('Interior Demo'!E:E+1)</f>
        <v>1</v>
      </c>
      <c r="E12" s="21">
        <f>D12+1</f>
        <v>2</v>
      </c>
      <c r="F12" s="21"/>
      <c r="G12" s="21"/>
      <c r="H12" s="22">
        <f>SUM(H13:H21)</f>
        <v>3457</v>
      </c>
      <c r="I12" s="22"/>
    </row>
    <row r="13" spans="1:9" s="14" customFormat="1" ht="26" x14ac:dyDescent="0.15">
      <c r="A13" s="73"/>
      <c r="B13" s="73"/>
      <c r="C13" s="73" t="s">
        <v>280</v>
      </c>
      <c r="D13" s="21"/>
      <c r="E13" s="21"/>
      <c r="F13" s="21"/>
      <c r="G13" s="21"/>
      <c r="H13" s="22">
        <v>475</v>
      </c>
      <c r="I13" s="22"/>
    </row>
    <row r="14" spans="1:9" s="14" customFormat="1" x14ac:dyDescent="0.15">
      <c r="A14" s="69"/>
      <c r="B14" s="69"/>
      <c r="C14" s="69" t="s">
        <v>281</v>
      </c>
      <c r="D14" s="21">
        <f>E12</f>
        <v>2</v>
      </c>
      <c r="E14" s="21">
        <f>D14+2</f>
        <v>4</v>
      </c>
      <c r="F14" s="21"/>
      <c r="G14" s="21"/>
      <c r="H14" s="22">
        <v>1290</v>
      </c>
      <c r="I14" s="22"/>
    </row>
    <row r="15" spans="1:9" s="14" customFormat="1" x14ac:dyDescent="0.15">
      <c r="A15" s="69"/>
      <c r="B15" s="69"/>
      <c r="C15" s="69" t="s">
        <v>282</v>
      </c>
      <c r="D15" s="21">
        <f>E12</f>
        <v>2</v>
      </c>
      <c r="E15" s="21">
        <f>D15+1</f>
        <v>3</v>
      </c>
      <c r="F15" s="21"/>
      <c r="G15" s="21"/>
      <c r="H15" s="22">
        <v>0</v>
      </c>
      <c r="I15" s="22"/>
    </row>
    <row r="16" spans="1:9" s="14" customFormat="1" x14ac:dyDescent="0.15">
      <c r="A16" s="69"/>
      <c r="B16" s="69"/>
      <c r="C16" s="69" t="s">
        <v>283</v>
      </c>
      <c r="D16" s="21">
        <f>E14</f>
        <v>4</v>
      </c>
      <c r="E16" s="21">
        <f>D16+0.5</f>
        <v>4.5</v>
      </c>
      <c r="F16" s="21"/>
      <c r="G16" s="21"/>
      <c r="H16" s="22">
        <v>0</v>
      </c>
      <c r="I16" s="22"/>
    </row>
    <row r="17" spans="1:9" s="14" customFormat="1" x14ac:dyDescent="0.15">
      <c r="A17" s="69"/>
      <c r="B17" s="69"/>
      <c r="C17" s="69" t="s">
        <v>284</v>
      </c>
      <c r="D17" s="21">
        <f>E16</f>
        <v>4.5</v>
      </c>
      <c r="E17" s="21">
        <f>D17+0.5</f>
        <v>5</v>
      </c>
      <c r="F17" s="21"/>
      <c r="G17" s="21"/>
      <c r="H17" s="22">
        <v>0</v>
      </c>
      <c r="I17" s="22"/>
    </row>
    <row r="18" spans="1:9" s="14" customFormat="1" x14ac:dyDescent="0.15">
      <c r="A18" s="69"/>
      <c r="B18" s="69"/>
      <c r="C18" s="69" t="s">
        <v>285</v>
      </c>
      <c r="D18" s="21">
        <f t="shared" ref="D18:D19" si="0">E17</f>
        <v>5</v>
      </c>
      <c r="E18" s="21">
        <f t="shared" ref="E18:E19" si="1">D18+0.5</f>
        <v>5.5</v>
      </c>
      <c r="F18" s="21"/>
      <c r="G18" s="21"/>
      <c r="H18" s="22" t="s">
        <v>69</v>
      </c>
      <c r="I18" s="22"/>
    </row>
    <row r="19" spans="1:9" s="14" customFormat="1" ht="26" x14ac:dyDescent="0.15">
      <c r="A19" s="69"/>
      <c r="B19" s="69"/>
      <c r="C19" s="69" t="s">
        <v>286</v>
      </c>
      <c r="D19" s="21">
        <f t="shared" si="0"/>
        <v>5.5</v>
      </c>
      <c r="E19" s="21">
        <f t="shared" si="1"/>
        <v>6</v>
      </c>
      <c r="F19" s="21"/>
      <c r="G19" s="21"/>
      <c r="H19" s="22">
        <v>200</v>
      </c>
      <c r="I19" s="22"/>
    </row>
    <row r="20" spans="1:9" s="14" customFormat="1" x14ac:dyDescent="0.15">
      <c r="A20" s="69"/>
      <c r="B20" s="69"/>
      <c r="C20" s="69"/>
      <c r="D20" s="21"/>
      <c r="E20" s="21"/>
      <c r="F20" s="21"/>
      <c r="G20" s="21"/>
      <c r="H20" s="22"/>
      <c r="I20" s="22"/>
    </row>
    <row r="21" spans="1:9" s="14" customFormat="1" x14ac:dyDescent="0.15">
      <c r="A21" s="69" t="s">
        <v>377</v>
      </c>
      <c r="B21" s="69"/>
      <c r="C21" s="69" t="s">
        <v>383</v>
      </c>
      <c r="D21" s="21">
        <f>E12</f>
        <v>2</v>
      </c>
      <c r="E21" s="21">
        <f>D21+1</f>
        <v>3</v>
      </c>
      <c r="F21" s="21"/>
      <c r="G21" s="21"/>
      <c r="H21" s="22">
        <f>SUM(H22:H29)</f>
        <v>1492</v>
      </c>
      <c r="I21" s="22"/>
    </row>
    <row r="22" spans="1:9" s="14" customFormat="1" ht="26" x14ac:dyDescent="0.15">
      <c r="A22" s="73"/>
      <c r="B22" s="73"/>
      <c r="C22" s="73" t="s">
        <v>280</v>
      </c>
      <c r="D22" s="21"/>
      <c r="E22" s="21"/>
      <c r="F22" s="21"/>
      <c r="G22" s="21"/>
      <c r="H22" s="22">
        <v>425</v>
      </c>
      <c r="I22" s="22"/>
    </row>
    <row r="23" spans="1:9" s="14" customFormat="1" x14ac:dyDescent="0.15">
      <c r="A23" s="69"/>
      <c r="B23" s="69"/>
      <c r="C23" s="69" t="s">
        <v>287</v>
      </c>
      <c r="D23" s="21">
        <f>E21</f>
        <v>3</v>
      </c>
      <c r="E23" s="21">
        <f>D23+2</f>
        <v>5</v>
      </c>
      <c r="F23" s="21"/>
      <c r="G23" s="21"/>
      <c r="H23" s="22">
        <v>900</v>
      </c>
      <c r="I23" s="22"/>
    </row>
    <row r="24" spans="1:9" s="14" customFormat="1" x14ac:dyDescent="0.15">
      <c r="A24" s="69"/>
      <c r="B24" s="69"/>
      <c r="C24" s="69" t="s">
        <v>282</v>
      </c>
      <c r="D24" s="21">
        <f>E21</f>
        <v>3</v>
      </c>
      <c r="E24" s="21">
        <f>D24+1</f>
        <v>4</v>
      </c>
      <c r="F24" s="21"/>
      <c r="G24" s="21"/>
      <c r="H24" s="22">
        <v>0</v>
      </c>
      <c r="I24" s="22"/>
    </row>
    <row r="25" spans="1:9" s="14" customFormat="1" x14ac:dyDescent="0.15">
      <c r="A25" s="69"/>
      <c r="B25" s="69"/>
      <c r="C25" s="69" t="s">
        <v>283</v>
      </c>
      <c r="D25" s="21">
        <f>E23</f>
        <v>5</v>
      </c>
      <c r="E25" s="21">
        <f>D25+0.5</f>
        <v>5.5</v>
      </c>
      <c r="F25" s="21"/>
      <c r="G25" s="21"/>
      <c r="H25" s="22">
        <v>0</v>
      </c>
      <c r="I25" s="22"/>
    </row>
    <row r="26" spans="1:9" s="14" customFormat="1" x14ac:dyDescent="0.15">
      <c r="A26" s="69"/>
      <c r="B26" s="69"/>
      <c r="C26" s="69" t="s">
        <v>284</v>
      </c>
      <c r="D26" s="21">
        <f>E25</f>
        <v>5.5</v>
      </c>
      <c r="E26" s="21">
        <f>D26+0.5</f>
        <v>6</v>
      </c>
      <c r="F26" s="21"/>
      <c r="G26" s="21"/>
      <c r="H26" s="22">
        <v>0</v>
      </c>
      <c r="I26" s="22"/>
    </row>
    <row r="27" spans="1:9" s="14" customFormat="1" x14ac:dyDescent="0.15">
      <c r="A27" s="69"/>
      <c r="B27" s="69"/>
      <c r="C27" s="69" t="s">
        <v>285</v>
      </c>
      <c r="D27" s="21">
        <f t="shared" ref="D27:D28" si="2">E26</f>
        <v>6</v>
      </c>
      <c r="E27" s="21">
        <f t="shared" ref="E27:E28" si="3">D27+0.5</f>
        <v>6.5</v>
      </c>
      <c r="F27" s="21"/>
      <c r="G27" s="21"/>
      <c r="H27" s="22" t="s">
        <v>69</v>
      </c>
      <c r="I27" s="22"/>
    </row>
    <row r="28" spans="1:9" s="14" customFormat="1" ht="26" x14ac:dyDescent="0.15">
      <c r="A28" s="69"/>
      <c r="B28" s="69"/>
      <c r="C28" s="69" t="s">
        <v>286</v>
      </c>
      <c r="D28" s="21">
        <f t="shared" si="2"/>
        <v>6.5</v>
      </c>
      <c r="E28" s="21">
        <f t="shared" si="3"/>
        <v>7</v>
      </c>
      <c r="F28" s="21"/>
      <c r="G28" s="21"/>
      <c r="H28" s="22">
        <v>167</v>
      </c>
      <c r="I28" s="22"/>
    </row>
    <row r="29" spans="1:9" s="14" customFormat="1" x14ac:dyDescent="0.15">
      <c r="A29" s="69"/>
      <c r="B29" s="69"/>
      <c r="C29" s="69"/>
      <c r="D29" s="21"/>
      <c r="E29" s="21"/>
      <c r="F29" s="21"/>
      <c r="G29" s="21"/>
      <c r="H29" s="22"/>
      <c r="I29" s="22"/>
    </row>
    <row r="30" spans="1:9" s="14" customFormat="1" x14ac:dyDescent="0.15">
      <c r="A30" s="69" t="s">
        <v>378</v>
      </c>
      <c r="B30" s="69"/>
      <c r="C30" s="69" t="s">
        <v>382</v>
      </c>
      <c r="D30" s="21">
        <f>E21</f>
        <v>3</v>
      </c>
      <c r="E30" s="21">
        <f>D30+1</f>
        <v>4</v>
      </c>
      <c r="F30" s="21"/>
      <c r="G30" s="21"/>
      <c r="H30" s="22">
        <f>SUM(H31:H37)</f>
        <v>1677</v>
      </c>
      <c r="I30" s="22"/>
    </row>
    <row r="31" spans="1:9" s="14" customFormat="1" ht="26" x14ac:dyDescent="0.15">
      <c r="A31" s="73"/>
      <c r="B31" s="73"/>
      <c r="C31" s="73" t="s">
        <v>280</v>
      </c>
      <c r="D31" s="21"/>
      <c r="E31" s="21"/>
      <c r="F31" s="21"/>
      <c r="G31" s="21"/>
      <c r="H31" s="22">
        <v>475</v>
      </c>
      <c r="I31" s="22"/>
    </row>
    <row r="32" spans="1:9" x14ac:dyDescent="0.15">
      <c r="C32" s="69" t="s">
        <v>287</v>
      </c>
      <c r="D32" s="21">
        <f>E30</f>
        <v>4</v>
      </c>
      <c r="E32" s="21">
        <f>D32+2</f>
        <v>6</v>
      </c>
      <c r="H32" s="22">
        <v>1035</v>
      </c>
    </row>
    <row r="33" spans="1:8" x14ac:dyDescent="0.15">
      <c r="C33" s="69" t="s">
        <v>282</v>
      </c>
      <c r="D33" s="21">
        <f>E30</f>
        <v>4</v>
      </c>
      <c r="E33" s="21">
        <f>D33+1</f>
        <v>5</v>
      </c>
    </row>
    <row r="34" spans="1:8" x14ac:dyDescent="0.15">
      <c r="C34" s="69" t="s">
        <v>283</v>
      </c>
      <c r="D34" s="21">
        <f>E32</f>
        <v>6</v>
      </c>
      <c r="E34" s="21">
        <f>D34+0.5</f>
        <v>6.5</v>
      </c>
      <c r="H34" s="22">
        <v>0</v>
      </c>
    </row>
    <row r="35" spans="1:8" x14ac:dyDescent="0.15">
      <c r="C35" s="69" t="s">
        <v>284</v>
      </c>
      <c r="D35" s="21">
        <f>E34</f>
        <v>6.5</v>
      </c>
      <c r="E35" s="21">
        <f>D35+0.5</f>
        <v>7</v>
      </c>
      <c r="H35" s="22">
        <v>0</v>
      </c>
    </row>
    <row r="36" spans="1:8" x14ac:dyDescent="0.15">
      <c r="C36" s="69" t="s">
        <v>285</v>
      </c>
      <c r="D36" s="21">
        <f t="shared" ref="D36:D37" si="4">E35</f>
        <v>7</v>
      </c>
      <c r="E36" s="21">
        <f t="shared" ref="E36:E37" si="5">D36+0.5</f>
        <v>7.5</v>
      </c>
      <c r="H36" s="22" t="s">
        <v>69</v>
      </c>
    </row>
    <row r="37" spans="1:8" s="22" customFormat="1" ht="26" x14ac:dyDescent="0.15">
      <c r="A37" s="69"/>
      <c r="B37" s="69"/>
      <c r="C37" s="69" t="s">
        <v>286</v>
      </c>
      <c r="D37" s="21">
        <f t="shared" si="4"/>
        <v>7.5</v>
      </c>
      <c r="E37" s="21">
        <f t="shared" si="5"/>
        <v>8</v>
      </c>
      <c r="F37" s="21"/>
      <c r="G37" s="21"/>
      <c r="H37" s="22">
        <v>167</v>
      </c>
    </row>
    <row r="38" spans="1:8" s="22" customFormat="1" x14ac:dyDescent="0.15">
      <c r="A38" s="23" t="s">
        <v>379</v>
      </c>
      <c r="B38" s="69"/>
      <c r="C38" s="73" t="s">
        <v>383</v>
      </c>
      <c r="D38" s="21">
        <f>E29</f>
        <v>0</v>
      </c>
      <c r="E38" s="21">
        <f>D38+1</f>
        <v>1</v>
      </c>
      <c r="F38" s="21"/>
      <c r="G38" s="21"/>
      <c r="H38" s="22">
        <f>SUM(H39:H45)</f>
        <v>1292</v>
      </c>
    </row>
    <row r="39" spans="1:8" s="22" customFormat="1" ht="26" x14ac:dyDescent="0.15">
      <c r="A39" s="23"/>
      <c r="B39" s="73"/>
      <c r="C39" s="73" t="s">
        <v>280</v>
      </c>
      <c r="D39" s="21"/>
      <c r="E39" s="21"/>
      <c r="F39" s="21"/>
      <c r="G39" s="21"/>
      <c r="H39" s="22">
        <v>225</v>
      </c>
    </row>
    <row r="40" spans="1:8" s="22" customFormat="1" x14ac:dyDescent="0.15">
      <c r="A40" s="23"/>
      <c r="B40" s="73"/>
      <c r="C40" s="73" t="s">
        <v>287</v>
      </c>
      <c r="D40" s="21">
        <f>E38</f>
        <v>1</v>
      </c>
      <c r="E40" s="21">
        <f>D40+2</f>
        <v>3</v>
      </c>
      <c r="F40" s="21"/>
      <c r="G40" s="21"/>
      <c r="H40" s="22">
        <v>900</v>
      </c>
    </row>
    <row r="41" spans="1:8" s="22" customFormat="1" x14ac:dyDescent="0.15">
      <c r="A41" s="23"/>
      <c r="B41" s="73"/>
      <c r="C41" s="73" t="s">
        <v>282</v>
      </c>
      <c r="D41" s="21">
        <f>E38</f>
        <v>1</v>
      </c>
      <c r="E41" s="21">
        <f>D41+1</f>
        <v>2</v>
      </c>
      <c r="F41" s="21"/>
      <c r="G41" s="21"/>
      <c r="H41" s="22">
        <v>0</v>
      </c>
    </row>
    <row r="42" spans="1:8" s="22" customFormat="1" x14ac:dyDescent="0.15">
      <c r="A42" s="23"/>
      <c r="B42" s="73"/>
      <c r="C42" s="73" t="s">
        <v>283</v>
      </c>
      <c r="D42" s="21">
        <f>E40</f>
        <v>3</v>
      </c>
      <c r="E42" s="21">
        <f>D42+0.5</f>
        <v>3.5</v>
      </c>
      <c r="F42" s="21"/>
      <c r="G42" s="21"/>
      <c r="H42" s="22">
        <v>0</v>
      </c>
    </row>
    <row r="43" spans="1:8" s="22" customFormat="1" x14ac:dyDescent="0.15">
      <c r="A43" s="23"/>
      <c r="B43" s="73"/>
      <c r="C43" s="73" t="s">
        <v>284</v>
      </c>
      <c r="D43" s="21">
        <f>E42</f>
        <v>3.5</v>
      </c>
      <c r="E43" s="21">
        <f>D43+0.5</f>
        <v>4</v>
      </c>
      <c r="F43" s="21"/>
      <c r="G43" s="21"/>
      <c r="H43" s="22">
        <v>0</v>
      </c>
    </row>
    <row r="44" spans="1:8" s="22" customFormat="1" x14ac:dyDescent="0.15">
      <c r="A44" s="23"/>
      <c r="B44" s="73"/>
      <c r="C44" s="73" t="s">
        <v>285</v>
      </c>
      <c r="D44" s="21">
        <f t="shared" ref="D44:D45" si="6">E43</f>
        <v>4</v>
      </c>
      <c r="E44" s="21">
        <f t="shared" ref="E44:E45" si="7">D44+0.5</f>
        <v>4.5</v>
      </c>
      <c r="F44" s="21"/>
      <c r="G44" s="21"/>
      <c r="H44" s="22" t="s">
        <v>69</v>
      </c>
    </row>
    <row r="45" spans="1:8" s="22" customFormat="1" ht="26" x14ac:dyDescent="0.15">
      <c r="A45" s="23"/>
      <c r="B45" s="73"/>
      <c r="C45" s="73" t="s">
        <v>286</v>
      </c>
      <c r="D45" s="21">
        <f t="shared" si="6"/>
        <v>4.5</v>
      </c>
      <c r="E45" s="21">
        <f t="shared" si="7"/>
        <v>5</v>
      </c>
      <c r="F45" s="21"/>
      <c r="G45" s="21"/>
      <c r="H45" s="22">
        <v>167</v>
      </c>
    </row>
    <row r="46" spans="1:8" s="22" customFormat="1" x14ac:dyDescent="0.15">
      <c r="A46" s="23" t="s">
        <v>66</v>
      </c>
      <c r="B46" s="73"/>
      <c r="C46" s="73" t="s">
        <v>335</v>
      </c>
      <c r="D46" s="21"/>
      <c r="E46" s="21"/>
      <c r="F46" s="21"/>
      <c r="G46" s="21"/>
      <c r="H46" s="75">
        <f>SUM(H12:H45)*5%</f>
        <v>717.2</v>
      </c>
    </row>
    <row r="47" spans="1:8" s="22" customFormat="1" x14ac:dyDescent="0.15">
      <c r="A47" s="69" t="s">
        <v>68</v>
      </c>
      <c r="B47" s="69" t="s">
        <v>69</v>
      </c>
      <c r="C47" s="66" t="s">
        <v>70</v>
      </c>
      <c r="D47" s="21"/>
      <c r="E47" s="21"/>
      <c r="F47" s="21"/>
      <c r="G47" s="21"/>
    </row>
    <row r="48" spans="1:8" s="22" customFormat="1" x14ac:dyDescent="0.15">
      <c r="A48" s="69"/>
      <c r="B48" s="69" t="s">
        <v>69</v>
      </c>
      <c r="C48" s="66" t="s">
        <v>71</v>
      </c>
      <c r="D48" s="21"/>
      <c r="E48" s="21"/>
      <c r="F48" s="21"/>
      <c r="G48" s="21"/>
    </row>
    <row r="49" spans="1:9" s="22" customFormat="1" x14ac:dyDescent="0.15">
      <c r="A49" s="69"/>
      <c r="B49" s="69" t="s">
        <v>69</v>
      </c>
      <c r="C49" s="66" t="s">
        <v>72</v>
      </c>
      <c r="D49" s="21"/>
      <c r="E49" s="21"/>
      <c r="F49" s="21"/>
      <c r="G49" s="21"/>
    </row>
    <row r="50" spans="1:9" s="22" customFormat="1" x14ac:dyDescent="0.15">
      <c r="A50" s="69"/>
      <c r="B50" s="69"/>
      <c r="C50" s="55"/>
      <c r="D50" s="21"/>
      <c r="E50" s="21"/>
      <c r="F50" s="21"/>
      <c r="G50" s="21"/>
    </row>
    <row r="51" spans="1:9" s="22" customFormat="1" x14ac:dyDescent="0.15">
      <c r="A51" s="69"/>
      <c r="B51" s="69"/>
      <c r="C51" s="55"/>
      <c r="D51" s="21"/>
      <c r="E51" s="21"/>
      <c r="F51" s="21"/>
      <c r="G51" s="21"/>
    </row>
    <row r="52" spans="1:9" s="22" customFormat="1" x14ac:dyDescent="0.15">
      <c r="A52" s="69"/>
      <c r="B52" s="69"/>
      <c r="C52" s="55"/>
      <c r="D52" s="21"/>
      <c r="E52" s="21"/>
      <c r="F52" s="21"/>
      <c r="G52" s="21"/>
    </row>
    <row r="53" spans="1:9" s="22" customFormat="1" x14ac:dyDescent="0.15">
      <c r="A53" s="69"/>
      <c r="B53" s="69"/>
      <c r="C53" s="27"/>
      <c r="D53" s="21"/>
      <c r="E53" s="21"/>
      <c r="F53" s="21"/>
      <c r="G53" s="21"/>
    </row>
    <row r="54" spans="1:9" x14ac:dyDescent="0.15">
      <c r="C54" s="27"/>
    </row>
    <row r="55" spans="1:9" s="21" customFormat="1" x14ac:dyDescent="0.15">
      <c r="A55" s="69"/>
      <c r="B55" s="69"/>
      <c r="C55" s="69"/>
      <c r="H55" s="22"/>
      <c r="I55" s="22"/>
    </row>
    <row r="56" spans="1:9" s="21" customFormat="1" x14ac:dyDescent="0.15">
      <c r="A56" s="69"/>
      <c r="B56" s="69"/>
      <c r="C56" s="27"/>
      <c r="H56" s="22"/>
      <c r="I56" s="22"/>
    </row>
    <row r="57" spans="1:9" s="21" customFormat="1" x14ac:dyDescent="0.15">
      <c r="A57" s="69"/>
      <c r="B57" s="69"/>
      <c r="C57" s="69"/>
      <c r="H57" s="22"/>
      <c r="I57" s="22"/>
    </row>
    <row r="59" spans="1:9" x14ac:dyDescent="0.15">
      <c r="C59" s="27"/>
    </row>
    <row r="60" spans="1:9" x14ac:dyDescent="0.15">
      <c r="C60" s="27"/>
    </row>
    <row r="61" spans="1:9" x14ac:dyDescent="0.15">
      <c r="C61" s="27"/>
    </row>
    <row r="62" spans="1:9" x14ac:dyDescent="0.15">
      <c r="C62" s="27"/>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158"/>
  <sheetViews>
    <sheetView view="pageLayout" topLeftCell="A109" workbookViewId="0">
      <selection activeCell="L142" sqref="L142"/>
    </sheetView>
  </sheetViews>
  <sheetFormatPr baseColWidth="10" defaultColWidth="11" defaultRowHeight="13" x14ac:dyDescent="0.15"/>
  <cols>
    <col min="1" max="1" width="16" style="23" customWidth="1"/>
    <col min="2" max="2" width="20.796875" style="34" customWidth="1"/>
    <col min="3" max="3" width="46.19921875" style="34" customWidth="1"/>
    <col min="4" max="7" width="11" style="21"/>
    <col min="8" max="9" width="11" style="22"/>
    <col min="10" max="10" width="12" style="62" customWidth="1"/>
    <col min="11" max="11" width="12" style="59" customWidth="1"/>
    <col min="12" max="13" width="12" style="23" customWidth="1"/>
    <col min="14" max="16384" width="11" style="23"/>
  </cols>
  <sheetData>
    <row r="1" spans="1:13" ht="19" x14ac:dyDescent="0.15">
      <c r="A1" s="20" t="s">
        <v>203</v>
      </c>
      <c r="B1" s="50"/>
      <c r="C1" s="50"/>
    </row>
    <row r="2" spans="1:13" ht="17" x14ac:dyDescent="0.15">
      <c r="A2" s="42" t="s">
        <v>204</v>
      </c>
      <c r="B2" s="50"/>
      <c r="C2" s="50"/>
    </row>
    <row r="4" spans="1:13" x14ac:dyDescent="0.15">
      <c r="A4" s="76" t="s">
        <v>205</v>
      </c>
      <c r="B4" s="76"/>
      <c r="C4" s="76"/>
      <c r="D4" s="76"/>
      <c r="E4" s="76"/>
      <c r="F4" s="76"/>
      <c r="G4" s="76"/>
    </row>
    <row r="5" spans="1:13" x14ac:dyDescent="0.15">
      <c r="A5" s="76"/>
      <c r="B5" s="76"/>
      <c r="C5" s="76"/>
      <c r="D5" s="76"/>
      <c r="E5" s="76"/>
      <c r="F5" s="76"/>
      <c r="G5" s="76"/>
    </row>
    <row r="6" spans="1:13" x14ac:dyDescent="0.15">
      <c r="A6" s="76"/>
      <c r="B6" s="76"/>
      <c r="C6" s="76"/>
      <c r="D6" s="76"/>
      <c r="E6" s="76"/>
      <c r="F6" s="76"/>
      <c r="G6" s="76"/>
    </row>
    <row r="7" spans="1:13" x14ac:dyDescent="0.15">
      <c r="A7" s="76"/>
      <c r="B7" s="76"/>
      <c r="C7" s="76"/>
      <c r="D7" s="76"/>
      <c r="E7" s="76"/>
      <c r="F7" s="76"/>
      <c r="G7" s="76"/>
    </row>
    <row r="8" spans="1:13" ht="15" x14ac:dyDescent="0.15">
      <c r="A8" s="43" t="s">
        <v>50</v>
      </c>
      <c r="B8" s="50" t="str">
        <f ca="1">Project_Name</f>
        <v>Road Runner-2017</v>
      </c>
      <c r="C8" s="50"/>
    </row>
    <row r="11" spans="1:13" s="14" customFormat="1" ht="30" x14ac:dyDescent="0.2">
      <c r="A11" s="15" t="s">
        <v>53</v>
      </c>
      <c r="B11" s="15" t="s">
        <v>54</v>
      </c>
      <c r="C11" s="15" t="s">
        <v>55</v>
      </c>
      <c r="D11" s="19" t="s">
        <v>33</v>
      </c>
      <c r="E11" s="19" t="s">
        <v>56</v>
      </c>
      <c r="F11" s="19" t="s">
        <v>57</v>
      </c>
      <c r="G11" s="19" t="s">
        <v>58</v>
      </c>
      <c r="H11" s="17" t="s">
        <v>59</v>
      </c>
      <c r="I11" s="17" t="s">
        <v>60</v>
      </c>
      <c r="J11" s="63" t="s">
        <v>206</v>
      </c>
      <c r="K11" s="60" t="s">
        <v>207</v>
      </c>
      <c r="L11" s="15" t="s">
        <v>208</v>
      </c>
      <c r="M11" s="15" t="s">
        <v>209</v>
      </c>
    </row>
    <row r="12" spans="1:13" s="34" customFormat="1" ht="15" x14ac:dyDescent="0.15">
      <c r="A12" s="47" t="s">
        <v>49</v>
      </c>
      <c r="B12" s="44"/>
      <c r="C12" s="44"/>
      <c r="D12" s="45"/>
      <c r="E12" s="45"/>
      <c r="F12" s="45"/>
      <c r="G12" s="45"/>
      <c r="H12" s="46"/>
      <c r="I12" s="46"/>
      <c r="J12" s="64"/>
      <c r="K12" s="61"/>
      <c r="L12" s="44"/>
      <c r="M12" s="44"/>
    </row>
    <row r="13" spans="1:13" x14ac:dyDescent="0.15">
      <c r="A13" s="23" t="str">
        <f>'Exterior Demo'!A12</f>
        <v>Trash Disposal</v>
      </c>
      <c r="B13" s="23" t="str">
        <f>'Exterior Demo'!B12</f>
        <v>TBD</v>
      </c>
      <c r="C13" s="50" t="str">
        <f>'Exterior Demo'!C12</f>
        <v>Trash removal and dump fees for exterior demo.</v>
      </c>
      <c r="D13" s="21">
        <f>'Exterior Demo'!D12</f>
        <v>42864</v>
      </c>
      <c r="E13" s="21">
        <f>'Exterior Demo'!E12</f>
        <v>42871</v>
      </c>
      <c r="F13" s="21">
        <f>'Exterior Demo'!F12</f>
        <v>0</v>
      </c>
      <c r="G13" s="21">
        <f>'Exterior Demo'!G12</f>
        <v>0</v>
      </c>
      <c r="H13" s="22">
        <f>'Exterior Demo'!H12</f>
        <v>10</v>
      </c>
      <c r="I13" s="22">
        <f>'Exterior Demo'!I12</f>
        <v>0</v>
      </c>
      <c r="J13" s="62" t="str">
        <f>IF(F:F&gt;0,F:F-E:E,"-")</f>
        <v>-</v>
      </c>
      <c r="K13" s="59">
        <f>IFERROR(F:F/E:E,0)</f>
        <v>0</v>
      </c>
      <c r="L13" s="49">
        <f>I:I-H:H</f>
        <v>-10</v>
      </c>
      <c r="M13" s="48">
        <f>IFERROR(1-(I:I/H:H),0)</f>
        <v>1</v>
      </c>
    </row>
    <row r="14" spans="1:13" x14ac:dyDescent="0.15">
      <c r="B14" s="50"/>
      <c r="C14" s="50" t="str">
        <f>'Exterior Demo'!C13</f>
        <v>Trash removal and dump fees for interor demo.</v>
      </c>
      <c r="D14" s="21">
        <f>'Exterior Demo'!D13</f>
        <v>42878</v>
      </c>
      <c r="E14" s="21">
        <f>'Exterior Demo'!E13</f>
        <v>42885</v>
      </c>
      <c r="F14" s="21">
        <f>'Exterior Demo'!F13</f>
        <v>0</v>
      </c>
      <c r="G14" s="21">
        <f>'Exterior Demo'!G13</f>
        <v>0</v>
      </c>
      <c r="H14" s="22">
        <f>'Exterior Demo'!H13</f>
        <v>10</v>
      </c>
      <c r="I14" s="22">
        <f>'Exterior Demo'!I13</f>
        <v>0</v>
      </c>
      <c r="J14" s="62" t="str">
        <f>IF(F:F&gt;0,F:F-E:E,"-")</f>
        <v>-</v>
      </c>
      <c r="K14" s="59">
        <f>IFERROR(F:F/E:E,0)</f>
        <v>0</v>
      </c>
      <c r="L14" s="49">
        <f>I:I-H:H</f>
        <v>-10</v>
      </c>
      <c r="M14" s="48">
        <f>IFERROR(1-(I:I/H:H),0)</f>
        <v>1</v>
      </c>
    </row>
    <row r="15" spans="1:13" x14ac:dyDescent="0.15">
      <c r="B15" s="50"/>
      <c r="C15" s="50" t="str">
        <f>'Exterior Demo'!C14</f>
        <v>Other trash removal and dump fees.</v>
      </c>
      <c r="D15" s="21">
        <f>E15-7</f>
        <v>42896</v>
      </c>
      <c r="E15" s="21">
        <f>MAX(E17:E1664)-5</f>
        <v>42903</v>
      </c>
      <c r="F15" s="21">
        <f>'Exterior Demo'!F14</f>
        <v>0</v>
      </c>
      <c r="G15" s="21">
        <f>'Exterior Demo'!G14</f>
        <v>0</v>
      </c>
      <c r="H15" s="22">
        <f>'Exterior Demo'!H14</f>
        <v>10</v>
      </c>
      <c r="I15" s="22">
        <f>'Exterior Demo'!I14</f>
        <v>0</v>
      </c>
      <c r="J15" s="62" t="str">
        <f>IF(F:F&gt;0,F:F-E:E,"-")</f>
        <v>-</v>
      </c>
      <c r="K15" s="59">
        <f>IFERROR(F:F/E:E,0)</f>
        <v>0</v>
      </c>
      <c r="L15" s="49">
        <f>I:I-H:H</f>
        <v>-10</v>
      </c>
      <c r="M15" s="48">
        <f>IFERROR(1-(I:I/H:H),0)</f>
        <v>1</v>
      </c>
    </row>
    <row r="16" spans="1:13" x14ac:dyDescent="0.15">
      <c r="B16" s="71"/>
      <c r="C16" s="71"/>
      <c r="L16" s="49"/>
      <c r="M16" s="48"/>
    </row>
    <row r="17" spans="1:13" x14ac:dyDescent="0.15">
      <c r="A17" s="23" t="str">
        <f>'Exterior Demo'!A17</f>
        <v>Yard</v>
      </c>
      <c r="B17" s="76" t="str">
        <f>'Exterior Demo'!B17</f>
        <v>Cameron Lawn Maintenance</v>
      </c>
      <c r="C17" s="50" t="str">
        <f>'Exterior Demo'!C17</f>
        <v>Lawn mowing and maintenance 1</v>
      </c>
      <c r="D17" s="21">
        <f>'Exterior Demo'!D17</f>
        <v>42908</v>
      </c>
      <c r="E17" s="21">
        <f>'Exterior Demo'!E17</f>
        <v>42908</v>
      </c>
      <c r="F17" s="21">
        <f>'Exterior Demo'!F17</f>
        <v>42908</v>
      </c>
      <c r="G17" s="21">
        <f>'Exterior Demo'!G17</f>
        <v>42910</v>
      </c>
      <c r="H17" s="22">
        <f>'Exterior Demo'!H17</f>
        <v>40</v>
      </c>
      <c r="I17" s="22">
        <f>'Exterior Demo'!I17</f>
        <v>40</v>
      </c>
      <c r="J17" s="62">
        <f>IF(F:F&gt;0,F:F-E:E,"-")</f>
        <v>0</v>
      </c>
      <c r="K17" s="59">
        <f>IFERROR(F:F/E:E,0)</f>
        <v>1</v>
      </c>
      <c r="L17" s="49">
        <f>I:I-H:H</f>
        <v>0</v>
      </c>
      <c r="M17" s="48">
        <f>IFERROR(1-(I:I/H:H),0)</f>
        <v>0</v>
      </c>
    </row>
    <row r="18" spans="1:13" x14ac:dyDescent="0.15">
      <c r="B18" s="76"/>
      <c r="C18" s="71" t="str">
        <f>'Exterior Demo'!C18</f>
        <v>Lawn mowing and maintenance 2</v>
      </c>
      <c r="D18" s="21">
        <f>'Exterior Demo'!D18</f>
        <v>42929</v>
      </c>
      <c r="E18" s="21">
        <f>'Exterior Demo'!E18</f>
        <v>0</v>
      </c>
      <c r="F18" s="21">
        <f>'Exterior Demo'!F18</f>
        <v>0</v>
      </c>
      <c r="G18" s="21">
        <f>'Exterior Demo'!G18</f>
        <v>0</v>
      </c>
      <c r="H18" s="22">
        <f>'Exterior Demo'!H18</f>
        <v>40</v>
      </c>
      <c r="I18" s="22">
        <f>'Exterior Demo'!I18</f>
        <v>0</v>
      </c>
      <c r="J18" s="62" t="str">
        <f>IF(F:F&gt;0,F:F-E:E,"-")</f>
        <v>-</v>
      </c>
      <c r="K18" s="59">
        <f>IFERROR(F:F/E:E,0)</f>
        <v>0</v>
      </c>
      <c r="L18" s="49">
        <f>I:I-H:H</f>
        <v>-40</v>
      </c>
      <c r="M18" s="48">
        <f>IFERROR(1-(I:I/H:H),0)</f>
        <v>1</v>
      </c>
    </row>
    <row r="19" spans="1:13" x14ac:dyDescent="0.15">
      <c r="B19" s="76"/>
      <c r="C19" s="71" t="str">
        <f>'Exterior Demo'!C19</f>
        <v>Lawn mowing and maintenance 3</v>
      </c>
      <c r="D19" s="21">
        <f>'Exterior Demo'!D19</f>
        <v>42950</v>
      </c>
      <c r="E19" s="21">
        <f>'Exterior Demo'!E19</f>
        <v>0</v>
      </c>
      <c r="F19" s="21">
        <f>'Exterior Demo'!F19</f>
        <v>0</v>
      </c>
      <c r="G19" s="21">
        <f>'Exterior Demo'!G19</f>
        <v>0</v>
      </c>
      <c r="H19" s="22">
        <f>'Exterior Demo'!H19</f>
        <v>40</v>
      </c>
      <c r="I19" s="22">
        <f>'Exterior Demo'!I19</f>
        <v>0</v>
      </c>
      <c r="J19" s="62" t="str">
        <f>IF(F:F&gt;0,F:F-E:E,"-")</f>
        <v>-</v>
      </c>
      <c r="K19" s="59">
        <f>IFERROR(F:F/E:E,0)</f>
        <v>0</v>
      </c>
      <c r="L19" s="49">
        <f>I:I-H:H</f>
        <v>-40</v>
      </c>
      <c r="M19" s="48">
        <f>IFERROR(1-(I:I/H:H),0)</f>
        <v>1</v>
      </c>
    </row>
    <row r="20" spans="1:13" x14ac:dyDescent="0.15">
      <c r="B20" s="76"/>
      <c r="C20" s="71" t="str">
        <f>'Exterior Demo'!C20</f>
        <v>Lawn mowing and maintenance 4</v>
      </c>
      <c r="D20" s="21">
        <f>'Exterior Demo'!D20</f>
        <v>42971</v>
      </c>
      <c r="E20" s="21">
        <f>'Exterior Demo'!E20</f>
        <v>0</v>
      </c>
      <c r="F20" s="21">
        <f>'Exterior Demo'!F20</f>
        <v>0</v>
      </c>
      <c r="G20" s="21">
        <f>'Exterior Demo'!G20</f>
        <v>0</v>
      </c>
      <c r="H20" s="22">
        <f>'Exterior Demo'!H20</f>
        <v>0</v>
      </c>
      <c r="I20" s="22">
        <f>'Exterior Demo'!I20</f>
        <v>0</v>
      </c>
      <c r="J20" s="62" t="str">
        <f>IF(F:F&gt;0,F:F-E:E,"-")</f>
        <v>-</v>
      </c>
      <c r="K20" s="59">
        <f>IFERROR(F:F/E:E,0)</f>
        <v>0</v>
      </c>
      <c r="L20" s="49">
        <f>I:I-H:H</f>
        <v>0</v>
      </c>
      <c r="M20" s="48">
        <f>IFERROR(1-(I:I/H:H),0)</f>
        <v>0</v>
      </c>
    </row>
    <row r="21" spans="1:13" x14ac:dyDescent="0.15">
      <c r="B21" s="76"/>
      <c r="C21" s="71" t="str">
        <f>'Exterior Demo'!C21</f>
        <v>Clean mow and weed flower beds prior to marketing.</v>
      </c>
      <c r="D21" s="21">
        <f>'Exterior Demo'!D21</f>
        <v>42992</v>
      </c>
      <c r="E21" s="21">
        <f>'Exterior Demo'!E21</f>
        <v>0</v>
      </c>
      <c r="F21" s="21">
        <f>'Exterior Demo'!F21</f>
        <v>0</v>
      </c>
      <c r="G21" s="21">
        <f>'Exterior Demo'!G21</f>
        <v>0</v>
      </c>
      <c r="H21" s="22">
        <f>'Exterior Demo'!H21</f>
        <v>40</v>
      </c>
      <c r="I21" s="22">
        <f>'Exterior Demo'!I21</f>
        <v>0</v>
      </c>
      <c r="J21" s="62" t="str">
        <f>IF(F:F&gt;0,F:F-E:E,"-")</f>
        <v>-</v>
      </c>
      <c r="K21" s="59">
        <f>IFERROR(F:F/E:E,0)</f>
        <v>0</v>
      </c>
      <c r="L21" s="49">
        <f>I:I-H:H</f>
        <v>-40</v>
      </c>
      <c r="M21" s="48">
        <f>IFERROR(1-(I:I/H:H),0)</f>
        <v>1</v>
      </c>
    </row>
    <row r="22" spans="1:13" x14ac:dyDescent="0.15">
      <c r="B22" s="76"/>
      <c r="C22" s="71"/>
      <c r="L22" s="49"/>
      <c r="M22" s="48"/>
    </row>
    <row r="23" spans="1:13" x14ac:dyDescent="0.15">
      <c r="B23" s="76"/>
      <c r="C23" s="71" t="str">
        <f>'Exterior Demo'!C23</f>
        <v>Fill in low spot in front yard and plant shrubs</v>
      </c>
      <c r="D23" s="21">
        <f>'Exterior Demo'!D23</f>
        <v>42950</v>
      </c>
      <c r="E23" s="21">
        <f>'Exterior Demo'!E23</f>
        <v>0</v>
      </c>
      <c r="F23" s="21">
        <f>'Exterior Demo'!F23</f>
        <v>0</v>
      </c>
      <c r="G23" s="21">
        <f>'Exterior Demo'!G23</f>
        <v>0</v>
      </c>
      <c r="H23" s="22">
        <f>'Exterior Demo'!H23</f>
        <v>100</v>
      </c>
      <c r="I23" s="22">
        <f>'Exterior Demo'!I23</f>
        <v>0</v>
      </c>
      <c r="J23" s="62" t="str">
        <f>IF(F:F&gt;0,F:F-E:E,"-")</f>
        <v>-</v>
      </c>
      <c r="K23" s="59">
        <f>IFERROR(F:F/E:E,0)</f>
        <v>0</v>
      </c>
      <c r="L23" s="49">
        <f>I:I-H:H</f>
        <v>-100</v>
      </c>
      <c r="M23" s="48">
        <f>IFERROR(1-(I:I/H:H),0)</f>
        <v>1</v>
      </c>
    </row>
    <row r="24" spans="1:13" x14ac:dyDescent="0.15">
      <c r="B24" s="76"/>
      <c r="C24" s="71"/>
      <c r="L24" s="49"/>
      <c r="M24" s="48"/>
    </row>
    <row r="25" spans="1:13" x14ac:dyDescent="0.15">
      <c r="A25" s="23" t="str">
        <f>'Exterior Demo'!A25</f>
        <v>Front porch</v>
      </c>
      <c r="B25" s="71" t="str">
        <f>'Exterior Demo'!B25</f>
        <v>TBD</v>
      </c>
      <c r="C25" s="71" t="str">
        <f>'Exterior Demo'!C25</f>
        <v>Demo front entry arches and dispose of debris</v>
      </c>
      <c r="D25" s="21">
        <f>'Exterior Demo'!D25</f>
        <v>0</v>
      </c>
      <c r="E25" s="21">
        <f>'Exterior Demo'!E25</f>
        <v>0</v>
      </c>
      <c r="F25" s="21">
        <f>'Exterior Demo'!F25</f>
        <v>0</v>
      </c>
      <c r="G25" s="21">
        <f>'Exterior Demo'!G25</f>
        <v>0</v>
      </c>
      <c r="H25" s="22">
        <f>'Exterior Demo'!H25</f>
        <v>850</v>
      </c>
      <c r="I25" s="22">
        <f>'Exterior Demo'!I25</f>
        <v>0</v>
      </c>
      <c r="J25" s="62" t="str">
        <f>IF(F:F&gt;0,F:F-E:E,"-")</f>
        <v>-</v>
      </c>
      <c r="K25" s="59">
        <f>IFERROR(F:F/E:E,0)</f>
        <v>0</v>
      </c>
      <c r="L25" s="49">
        <f t="shared" ref="L25:L27" si="0">0-I25</f>
        <v>0</v>
      </c>
      <c r="M25" s="48">
        <f>IFERROR(1-(I:I/H:H),0)</f>
        <v>1</v>
      </c>
    </row>
    <row r="26" spans="1:13" x14ac:dyDescent="0.15">
      <c r="B26" s="71"/>
      <c r="C26" s="71"/>
      <c r="L26" s="49"/>
      <c r="M26" s="48"/>
    </row>
    <row r="27" spans="1:13" x14ac:dyDescent="0.15">
      <c r="A27" s="23" t="str">
        <f>'Exterior Demo'!A27</f>
        <v>Other</v>
      </c>
      <c r="B27" s="71" t="str">
        <f>'Exterior Demo'!B27</f>
        <v>Contingency</v>
      </c>
      <c r="C27" s="71" t="str">
        <f>'Exterior Demo'!C27</f>
        <v>Other external demolition</v>
      </c>
      <c r="D27" s="21">
        <f>'Exterior Demo'!D27</f>
        <v>0</v>
      </c>
      <c r="E27" s="21">
        <f>'Exterior Demo'!E27</f>
        <v>0</v>
      </c>
      <c r="F27" s="21">
        <f>'Exterior Demo'!F27</f>
        <v>0</v>
      </c>
      <c r="G27" s="21">
        <f>'Exterior Demo'!G27</f>
        <v>0</v>
      </c>
      <c r="H27" s="22">
        <f>'Exterior Demo'!H27</f>
        <v>58.5</v>
      </c>
      <c r="I27" s="22">
        <f>'Exterior Demo'!I27</f>
        <v>0</v>
      </c>
      <c r="J27" s="62" t="str">
        <f>IF(F:F&gt;0,F:F-E:E,"-")</f>
        <v>-</v>
      </c>
      <c r="K27" s="59">
        <f>IFERROR(F:F/E:E,0)</f>
        <v>0</v>
      </c>
      <c r="L27" s="49">
        <f t="shared" si="0"/>
        <v>0</v>
      </c>
      <c r="M27" s="48">
        <f>IFERROR(1-(I:I/H:H),0)</f>
        <v>1</v>
      </c>
    </row>
    <row r="28" spans="1:13" x14ac:dyDescent="0.15">
      <c r="A28" s="23" t="str">
        <f>'Exterior Demo'!A27</f>
        <v>Other</v>
      </c>
      <c r="B28" s="50" t="str">
        <f>'Exterior Demo'!B27</f>
        <v>Contingency</v>
      </c>
      <c r="C28" s="50" t="str">
        <f>'Exterior Demo'!C27</f>
        <v>Other external demolition</v>
      </c>
      <c r="D28" s="21">
        <f>'Exterior Demo'!D27</f>
        <v>0</v>
      </c>
      <c r="E28" s="21">
        <f>'Exterior Demo'!E27</f>
        <v>0</v>
      </c>
      <c r="F28" s="21">
        <f>'Exterior Demo'!F27</f>
        <v>0</v>
      </c>
      <c r="G28" s="21">
        <f>'Exterior Demo'!G27</f>
        <v>0</v>
      </c>
      <c r="H28" s="22">
        <f>'Exterior Demo'!H27</f>
        <v>58.5</v>
      </c>
      <c r="I28" s="22">
        <f>'Exterior Demo'!I27</f>
        <v>0</v>
      </c>
      <c r="J28" s="62" t="str">
        <f>IF(F:F&gt;0,F:F-E:E,"-")</f>
        <v>-</v>
      </c>
      <c r="K28" s="59">
        <f>IFERROR(F:F/E:E,0)</f>
        <v>0</v>
      </c>
      <c r="L28" s="49">
        <f>I:I-H:H</f>
        <v>-58.5</v>
      </c>
      <c r="M28" s="48">
        <f>IFERROR(1-(I:I/H:H),0)</f>
        <v>1</v>
      </c>
    </row>
    <row r="29" spans="1:13" x14ac:dyDescent="0.15">
      <c r="A29" s="23" t="str">
        <f>'Exterior Demo'!A29</f>
        <v>Changes</v>
      </c>
      <c r="B29" s="50" t="str">
        <f>'Exterior Demo'!B29</f>
        <v>TBD</v>
      </c>
      <c r="C29" s="50" t="str">
        <f>'Exterior Demo'!C29</f>
        <v>Exterior Change order 1</v>
      </c>
      <c r="D29" s="21">
        <f>'Exterior Demo'!D29</f>
        <v>0</v>
      </c>
      <c r="E29" s="21">
        <f>'Exterior Demo'!E29</f>
        <v>0</v>
      </c>
      <c r="F29" s="21">
        <f>'Exterior Demo'!F29</f>
        <v>0</v>
      </c>
      <c r="G29" s="21">
        <f>'Exterior Demo'!G29</f>
        <v>0</v>
      </c>
      <c r="H29" s="22">
        <f>SUM(H13:H28)*5%</f>
        <v>62.85</v>
      </c>
      <c r="I29" s="22">
        <f>'Exterior Demo'!I29</f>
        <v>0</v>
      </c>
      <c r="J29" s="62" t="str">
        <f>IF(F:F&gt;0,F:F-E:E,"-")</f>
        <v>-</v>
      </c>
      <c r="K29" s="59">
        <f>IFERROR(F:F/E:E,0)</f>
        <v>0</v>
      </c>
      <c r="L29" s="49">
        <f>I:I-H:H</f>
        <v>-62.85</v>
      </c>
      <c r="M29" s="48">
        <f>IFERROR(1-(I:I/H:H),0)</f>
        <v>1</v>
      </c>
    </row>
    <row r="30" spans="1:13" x14ac:dyDescent="0.15">
      <c r="B30" s="50" t="str">
        <f>'Exterior Demo'!B30</f>
        <v>TBD</v>
      </c>
      <c r="C30" s="50" t="str">
        <f>'Exterior Demo'!C30</f>
        <v>Exterior Change order 2</v>
      </c>
      <c r="D30" s="21">
        <f>'Exterior Demo'!D30</f>
        <v>0</v>
      </c>
      <c r="E30" s="21">
        <f>'Exterior Demo'!E30</f>
        <v>0</v>
      </c>
      <c r="F30" s="21">
        <f>'Exterior Demo'!F30</f>
        <v>0</v>
      </c>
      <c r="G30" s="21">
        <f>'Exterior Demo'!G30</f>
        <v>0</v>
      </c>
      <c r="H30" s="22">
        <v>0</v>
      </c>
      <c r="I30" s="22">
        <f>'Exterior Demo'!I30</f>
        <v>0</v>
      </c>
      <c r="J30" s="62" t="str">
        <f>IF(F:F&gt;0,F:F-E:E,"-")</f>
        <v>-</v>
      </c>
      <c r="K30" s="59">
        <f>IFERROR(F:F/E:E,0)</f>
        <v>0</v>
      </c>
      <c r="L30" s="49">
        <f>I:I-H:H</f>
        <v>0</v>
      </c>
      <c r="M30" s="48">
        <f>IFERROR(1-(I:I/H:H),0)</f>
        <v>0</v>
      </c>
    </row>
    <row r="31" spans="1:13" x14ac:dyDescent="0.15">
      <c r="B31" s="50" t="str">
        <f>'Exterior Demo'!B31</f>
        <v>TBD</v>
      </c>
      <c r="C31" s="50" t="str">
        <f>'Exterior Demo'!C31</f>
        <v>Exterior Change order 3</v>
      </c>
      <c r="D31" s="21">
        <f>'Exterior Demo'!D31</f>
        <v>0</v>
      </c>
      <c r="E31" s="21">
        <f>'Exterior Demo'!E31</f>
        <v>0</v>
      </c>
      <c r="F31" s="21">
        <f>'Exterior Demo'!F31</f>
        <v>0</v>
      </c>
      <c r="G31" s="21">
        <f>'Exterior Demo'!G31</f>
        <v>0</v>
      </c>
      <c r="H31" s="22">
        <v>0</v>
      </c>
      <c r="I31" s="22">
        <f>'Exterior Demo'!I31</f>
        <v>0</v>
      </c>
      <c r="J31" s="62" t="str">
        <f>IF(F:F&gt;0,F:F-E:E,"-")</f>
        <v>-</v>
      </c>
      <c r="K31" s="59">
        <f>IFERROR(F:F/E:E,0)</f>
        <v>0</v>
      </c>
      <c r="L31" s="49">
        <f>I:I-H:H</f>
        <v>0</v>
      </c>
      <c r="M31" s="48">
        <f>IFERROR(1-(I:I/H:H),0)</f>
        <v>0</v>
      </c>
    </row>
    <row r="32" spans="1:13" x14ac:dyDescent="0.15">
      <c r="B32" s="50"/>
      <c r="C32" s="50"/>
      <c r="L32" s="49"/>
      <c r="M32" s="48"/>
    </row>
    <row r="33" spans="1:13" ht="14" x14ac:dyDescent="0.15">
      <c r="A33" s="47" t="s">
        <v>73</v>
      </c>
      <c r="B33" s="50"/>
      <c r="C33" s="50"/>
      <c r="L33" s="49"/>
      <c r="M33" s="48"/>
    </row>
    <row r="34" spans="1:13" x14ac:dyDescent="0.15">
      <c r="A34" s="23" t="str">
        <f>'Roof and Attic'!A12</f>
        <v>Roof</v>
      </c>
      <c r="B34" s="23" t="str">
        <f>'Roof and Attic'!B12</f>
        <v>Roofer</v>
      </c>
      <c r="C34" s="50" t="str">
        <f>'Roof and Attic'!C12</f>
        <v>No roof work is anticipated for this project.</v>
      </c>
      <c r="D34" s="21">
        <f>'Roof and Attic'!D12</f>
        <v>42859</v>
      </c>
      <c r="E34" s="21">
        <f>'Roof and Attic'!E12</f>
        <v>42861</v>
      </c>
      <c r="F34" s="21">
        <f>'Roof and Attic'!F12</f>
        <v>0</v>
      </c>
      <c r="G34" s="21">
        <f>'Roof and Attic'!G12</f>
        <v>0</v>
      </c>
      <c r="H34" s="22">
        <f>'Roof and Attic'!H12</f>
        <v>0</v>
      </c>
      <c r="I34" s="22">
        <f>'Roof and Attic'!I12</f>
        <v>0</v>
      </c>
      <c r="J34" s="62" t="str">
        <f>IF(F:F&gt;0,F:F-E:E,"-")</f>
        <v>-</v>
      </c>
      <c r="K34" s="59">
        <f>IFERROR(F:F/E:E,0)</f>
        <v>0</v>
      </c>
      <c r="L34" s="49">
        <f>I:I-H:H</f>
        <v>0</v>
      </c>
      <c r="M34" s="48">
        <f>IFERROR(1-(I:I/H:H),0)</f>
        <v>0</v>
      </c>
    </row>
    <row r="35" spans="1:13" x14ac:dyDescent="0.15">
      <c r="A35" s="23" t="str">
        <f>'Roof and Attic'!A18</f>
        <v>Roof</v>
      </c>
      <c r="B35" s="23" t="str">
        <f>'Roof and Attic'!B18</f>
        <v>Roofer</v>
      </c>
      <c r="C35" s="50" t="str">
        <f>'Roof and Attic'!C18</f>
        <v>Remove and replace roof.</v>
      </c>
      <c r="D35" s="21">
        <f>'Roof and Attic'!D18</f>
        <v>42859</v>
      </c>
      <c r="E35" s="21">
        <f>'Roof and Attic'!E18</f>
        <v>42862</v>
      </c>
      <c r="F35" s="21">
        <f>'Roof and Attic'!F18</f>
        <v>0</v>
      </c>
      <c r="G35" s="21">
        <f>'Roof and Attic'!G18</f>
        <v>0</v>
      </c>
      <c r="H35" s="22">
        <f>'Roof and Attic'!H18</f>
        <v>0</v>
      </c>
      <c r="I35" s="22">
        <f>'Roof and Attic'!I18</f>
        <v>0</v>
      </c>
      <c r="J35" s="62" t="str">
        <f>IF(F:F&gt;0,F:F-E:E,"-")</f>
        <v>-</v>
      </c>
      <c r="K35" s="59">
        <f>IFERROR(F:F/E:E,0)</f>
        <v>0</v>
      </c>
      <c r="L35" s="49">
        <f>I:I-H:H</f>
        <v>0</v>
      </c>
      <c r="M35" s="48">
        <f>IFERROR(1-(I:I/H:H),0)</f>
        <v>0</v>
      </c>
    </row>
    <row r="36" spans="1:13" x14ac:dyDescent="0.15">
      <c r="A36" s="23" t="str">
        <f>'Roof and Attic'!A26</f>
        <v>Attic</v>
      </c>
      <c r="B36" s="23" t="str">
        <f>'Roof and Attic'!B26</f>
        <v>Out for Bid</v>
      </c>
      <c r="C36" s="50" t="str">
        <f>'Roof and Attic'!C26</f>
        <v>Miscellaneous attic work</v>
      </c>
      <c r="D36" s="21">
        <f>'Roof and Attic'!D26</f>
        <v>0</v>
      </c>
      <c r="E36" s="21">
        <f>'Roof and Attic'!E26</f>
        <v>0</v>
      </c>
      <c r="F36" s="21">
        <f>'Roof and Attic'!F26</f>
        <v>0</v>
      </c>
      <c r="G36" s="21">
        <f>'Roof and Attic'!G26</f>
        <v>0</v>
      </c>
      <c r="H36" s="22">
        <f>'Roof and Attic'!H26</f>
        <v>0</v>
      </c>
      <c r="I36" s="22">
        <f>'Roof and Attic'!I26</f>
        <v>0</v>
      </c>
      <c r="J36" s="62" t="str">
        <f>IF(F:F&gt;0,F:F-E:E,"-")</f>
        <v>-</v>
      </c>
      <c r="K36" s="59">
        <f>IFERROR(F:F/E:E,0)</f>
        <v>0</v>
      </c>
      <c r="L36" s="49">
        <f>I:I-H:H</f>
        <v>0</v>
      </c>
      <c r="M36" s="48">
        <f>IFERROR(1-(I:I/H:H),0)</f>
        <v>0</v>
      </c>
    </row>
    <row r="37" spans="1:13" x14ac:dyDescent="0.15">
      <c r="A37" s="23" t="str">
        <f>'Roof and Attic'!A32</f>
        <v>Changes</v>
      </c>
      <c r="B37" s="23" t="str">
        <f>'Roof and Attic'!B32</f>
        <v>TBD</v>
      </c>
      <c r="C37" s="50" t="str">
        <f>'Roof and Attic'!C32</f>
        <v>Change order 1</v>
      </c>
      <c r="D37" s="21">
        <f>'Roof and Attic'!D32</f>
        <v>0</v>
      </c>
      <c r="E37" s="21">
        <f>'Roof and Attic'!E32</f>
        <v>0</v>
      </c>
      <c r="F37" s="21">
        <f>'Roof and Attic'!F32</f>
        <v>0</v>
      </c>
      <c r="G37" s="21">
        <f>'Roof and Attic'!G32</f>
        <v>0</v>
      </c>
      <c r="H37" s="22">
        <f>SUM(H34:H36)*5%</f>
        <v>0</v>
      </c>
      <c r="I37" s="22">
        <f>'Roof and Attic'!I32</f>
        <v>0</v>
      </c>
      <c r="J37" s="62" t="str">
        <f>IF(F:F&gt;0,F:F-E:E,"-")</f>
        <v>-</v>
      </c>
      <c r="K37" s="59">
        <f>IFERROR(F:F/E:E,0)</f>
        <v>0</v>
      </c>
      <c r="L37" s="49">
        <f>I:I-H:H</f>
        <v>0</v>
      </c>
      <c r="M37" s="48">
        <f>IFERROR(1-(I:I/H:H),0)</f>
        <v>0</v>
      </c>
    </row>
    <row r="38" spans="1:13" x14ac:dyDescent="0.15">
      <c r="B38" s="50"/>
      <c r="C38" s="50" t="str">
        <f>'Roof and Attic'!C33</f>
        <v>Change order 2</v>
      </c>
      <c r="D38" s="21">
        <f>'Roof and Attic'!D33</f>
        <v>0</v>
      </c>
      <c r="E38" s="21">
        <f>'Roof and Attic'!E33</f>
        <v>0</v>
      </c>
      <c r="F38" s="21">
        <f>'Roof and Attic'!F33</f>
        <v>0</v>
      </c>
      <c r="G38" s="21">
        <f>'Roof and Attic'!G33</f>
        <v>0</v>
      </c>
      <c r="H38" s="22">
        <v>0</v>
      </c>
      <c r="I38" s="22">
        <f>'Roof and Attic'!I33</f>
        <v>0</v>
      </c>
      <c r="J38" s="62" t="str">
        <f>IF(F:F&gt;0,F:F-E:E,"-")</f>
        <v>-</v>
      </c>
      <c r="K38" s="59">
        <f>IFERROR(F:F/E:E,0)</f>
        <v>0</v>
      </c>
      <c r="L38" s="49">
        <f>I:I-H:H</f>
        <v>0</v>
      </c>
      <c r="M38" s="48">
        <f>IFERROR(1-(I:I/H:H),0)</f>
        <v>0</v>
      </c>
    </row>
    <row r="39" spans="1:13" x14ac:dyDescent="0.15">
      <c r="B39" s="50"/>
      <c r="C39" s="50" t="str">
        <f>'Roof and Attic'!C34</f>
        <v>Change order 3</v>
      </c>
      <c r="D39" s="21">
        <f>'Roof and Attic'!D34</f>
        <v>0</v>
      </c>
      <c r="E39" s="21">
        <f>'Roof and Attic'!E34</f>
        <v>0</v>
      </c>
      <c r="F39" s="21">
        <f>'Roof and Attic'!F34</f>
        <v>0</v>
      </c>
      <c r="G39" s="21">
        <f>'Roof and Attic'!G34</f>
        <v>0</v>
      </c>
      <c r="H39" s="22">
        <v>0</v>
      </c>
      <c r="I39" s="22">
        <f>'Roof and Attic'!I34</f>
        <v>0</v>
      </c>
      <c r="J39" s="62" t="str">
        <f>IF(F:F&gt;0,F:F-E:E,"-")</f>
        <v>-</v>
      </c>
      <c r="K39" s="59">
        <f>IFERROR(F:F/E:E,0)</f>
        <v>0</v>
      </c>
      <c r="L39" s="49">
        <f>I:I-H:H</f>
        <v>0</v>
      </c>
      <c r="M39" s="48">
        <f>IFERROR(1-(I:I/H:H),0)</f>
        <v>0</v>
      </c>
    </row>
    <row r="40" spans="1:13" x14ac:dyDescent="0.15">
      <c r="B40" s="71"/>
      <c r="C40" s="71"/>
      <c r="L40" s="49"/>
      <c r="M40" s="48"/>
    </row>
    <row r="41" spans="1:13" x14ac:dyDescent="0.15">
      <c r="B41" s="50"/>
      <c r="C41" s="50"/>
      <c r="L41" s="49"/>
      <c r="M41" s="48"/>
    </row>
    <row r="42" spans="1:13" x14ac:dyDescent="0.15">
      <c r="B42" s="71"/>
      <c r="C42" s="71"/>
      <c r="L42" s="49"/>
      <c r="M42" s="48"/>
    </row>
    <row r="43" spans="1:13" x14ac:dyDescent="0.15">
      <c r="B43" s="71"/>
      <c r="C43" s="71"/>
      <c r="L43" s="49"/>
      <c r="M43" s="48"/>
    </row>
    <row r="44" spans="1:13" x14ac:dyDescent="0.15">
      <c r="B44" s="71"/>
      <c r="C44" s="71"/>
      <c r="L44" s="49"/>
      <c r="M44" s="48"/>
    </row>
    <row r="45" spans="1:13" x14ac:dyDescent="0.15">
      <c r="B45" s="71"/>
      <c r="C45" s="71"/>
      <c r="L45" s="49"/>
      <c r="M45" s="48"/>
    </row>
    <row r="46" spans="1:13" ht="14" x14ac:dyDescent="0.15">
      <c r="A46" s="47" t="s">
        <v>93</v>
      </c>
      <c r="B46" s="50"/>
      <c r="C46" s="50"/>
      <c r="L46" s="49"/>
      <c r="M46" s="48"/>
    </row>
    <row r="47" spans="1:13" ht="26" x14ac:dyDescent="0.15">
      <c r="A47" s="50" t="str">
        <f>'Building Exterior'!A12</f>
        <v>Facia, soffit, and trim</v>
      </c>
      <c r="B47" s="50" t="str">
        <f>'Building Exterior'!B12</f>
        <v>None anticipated.</v>
      </c>
      <c r="C47" s="50" t="str">
        <f>'Building Exterior'!C12</f>
        <v>Repair all damaged facia, soffit, and trim, including trim around windows.</v>
      </c>
      <c r="D47" s="21">
        <f>'Building Exterior'!D12</f>
        <v>0</v>
      </c>
      <c r="E47" s="21">
        <f>'Building Exterior'!E12</f>
        <v>0</v>
      </c>
      <c r="F47" s="21">
        <f>'Building Exterior'!F12</f>
        <v>0</v>
      </c>
      <c r="G47" s="21">
        <f>'Building Exterior'!G12</f>
        <v>0</v>
      </c>
      <c r="H47" s="22">
        <f>'Building Exterior'!H12</f>
        <v>0</v>
      </c>
      <c r="I47" s="22">
        <f>'Building Exterior'!I12</f>
        <v>0</v>
      </c>
      <c r="J47" s="62" t="str">
        <f>IF(F:F&gt;0,F:F-E:E,"-")</f>
        <v>-</v>
      </c>
      <c r="K47" s="59">
        <f>IFERROR(F:F/E:E,0)</f>
        <v>0</v>
      </c>
      <c r="L47" s="49">
        <f>I:I-H:H</f>
        <v>0</v>
      </c>
      <c r="M47" s="48">
        <f>IFERROR(1-(I:I/H:H),0)</f>
        <v>0</v>
      </c>
    </row>
    <row r="48" spans="1:13" ht="26" x14ac:dyDescent="0.15">
      <c r="A48" s="23" t="str">
        <f>'Building Exterior'!A17</f>
        <v>Siding</v>
      </c>
      <c r="B48" s="50" t="str">
        <f>'Building Exterior'!B17</f>
        <v>Scoped with windows</v>
      </c>
      <c r="C48" s="50" t="str">
        <f>'Building Exterior'!C17</f>
        <v>Replace damaged siding and install 1x4" trim along bottom</v>
      </c>
      <c r="D48" s="21">
        <f>'Building Exterior'!D17</f>
        <v>0</v>
      </c>
      <c r="E48" s="21">
        <f>'Building Exterior'!E17</f>
        <v>0</v>
      </c>
      <c r="F48" s="21">
        <f>'Building Exterior'!F17</f>
        <v>0</v>
      </c>
      <c r="G48" s="21">
        <f>'Building Exterior'!G17</f>
        <v>0</v>
      </c>
      <c r="H48" s="22">
        <f>'Building Exterior'!H17</f>
        <v>0</v>
      </c>
      <c r="I48" s="22">
        <f>'Building Exterior'!I17</f>
        <v>0</v>
      </c>
      <c r="J48" s="62" t="str">
        <f>IF(F:F&gt;0,F:F-E:E,"-")</f>
        <v>-</v>
      </c>
      <c r="K48" s="59">
        <f>IFERROR(F:F/E:E,0)</f>
        <v>0</v>
      </c>
      <c r="L48" s="49">
        <f>I:I-H:H</f>
        <v>0</v>
      </c>
      <c r="M48" s="48">
        <f>IFERROR(1-(I:I/H:H),0)</f>
        <v>0</v>
      </c>
    </row>
    <row r="49" spans="1:13" x14ac:dyDescent="0.15">
      <c r="A49" s="23" t="str">
        <f>'Building Exterior'!A20</f>
        <v>Gutters</v>
      </c>
      <c r="B49" s="50" t="str">
        <f>'Building Exterior'!B20</f>
        <v>None scoped.</v>
      </c>
      <c r="C49" s="50" t="str">
        <f>'Building Exterior'!C20</f>
        <v>Replace or install extruded gutters and downspouts.</v>
      </c>
      <c r="D49" s="21">
        <f>'Building Exterior'!D20</f>
        <v>1</v>
      </c>
      <c r="E49" s="21">
        <f>'Building Exterior'!E20</f>
        <v>1</v>
      </c>
      <c r="F49" s="21">
        <f>'Building Exterior'!F20</f>
        <v>0</v>
      </c>
      <c r="G49" s="21">
        <f>'Building Exterior'!G20</f>
        <v>0</v>
      </c>
      <c r="H49" s="22">
        <f>'Building Exterior'!H20</f>
        <v>0</v>
      </c>
      <c r="I49" s="22">
        <f>'Building Exterior'!I20</f>
        <v>0</v>
      </c>
      <c r="J49" s="62" t="str">
        <f>IF(F:F&gt;0,F:F-E:E,"-")</f>
        <v>-</v>
      </c>
      <c r="K49" s="59">
        <f>IFERROR(F:F/E:E,0)</f>
        <v>0</v>
      </c>
      <c r="L49" s="49">
        <f>I:I-H:H</f>
        <v>0</v>
      </c>
      <c r="M49" s="48">
        <f>IFERROR(1-(I:I/H:H),0)</f>
        <v>0</v>
      </c>
    </row>
    <row r="50" spans="1:13" x14ac:dyDescent="0.15">
      <c r="A50" s="23" t="str">
        <f>'Building Exterior'!A24</f>
        <v>Paint</v>
      </c>
      <c r="B50" s="50" t="str">
        <f>'Building Exterior'!B24</f>
        <v>Out for Bid</v>
      </c>
      <c r="C50" s="50" t="str">
        <f>'Building Exterior'!C24</f>
        <v>Powerwash and paint all exterior surfaces.</v>
      </c>
      <c r="D50" s="21">
        <f>'Building Exterior'!D24</f>
        <v>2</v>
      </c>
      <c r="E50" s="21">
        <f>'Building Exterior'!E24</f>
        <v>4</v>
      </c>
      <c r="F50" s="21">
        <f>'Building Exterior'!F24</f>
        <v>0</v>
      </c>
      <c r="G50" s="21">
        <f>'Building Exterior'!G24</f>
        <v>0</v>
      </c>
      <c r="H50" s="22">
        <f>'Building Exterior'!H24</f>
        <v>2650</v>
      </c>
      <c r="I50" s="22">
        <f>'Building Exterior'!I24</f>
        <v>0</v>
      </c>
      <c r="J50" s="62" t="str">
        <f>IF(F:F&gt;0,F:F-E:E,"-")</f>
        <v>-</v>
      </c>
      <c r="K50" s="59">
        <f>IFERROR(F:F/E:E,0)</f>
        <v>0</v>
      </c>
      <c r="L50" s="49">
        <f>I:I-H:H</f>
        <v>-2650</v>
      </c>
      <c r="M50" s="48">
        <f>IFERROR(1-(I:I/H:H),0)</f>
        <v>1</v>
      </c>
    </row>
    <row r="51" spans="1:13" x14ac:dyDescent="0.15">
      <c r="A51" s="23" t="str">
        <f>'Building Exterior'!A34</f>
        <v>Deck</v>
      </c>
      <c r="B51" s="50" t="str">
        <f>'Building Exterior'!B34</f>
        <v>None scoped</v>
      </c>
      <c r="C51" s="50" t="str">
        <f>'Building Exterior'!C34</f>
        <v>Repair or add deck to back of the house</v>
      </c>
      <c r="D51" s="21">
        <f>'Building Exterior'!D34</f>
        <v>0</v>
      </c>
      <c r="E51" s="21">
        <f>'Building Exterior'!E34</f>
        <v>0</v>
      </c>
      <c r="F51" s="21">
        <f>'Building Exterior'!F34</f>
        <v>0</v>
      </c>
      <c r="G51" s="21">
        <f>'Building Exterior'!G34</f>
        <v>0</v>
      </c>
      <c r="H51" s="22">
        <f>'Building Exterior'!H34</f>
        <v>0</v>
      </c>
      <c r="I51" s="22">
        <f>'Building Exterior'!I34</f>
        <v>0</v>
      </c>
      <c r="J51" s="62" t="str">
        <f>IF(F:F&gt;0,F:F-E:E,"-")</f>
        <v>-</v>
      </c>
      <c r="K51" s="59">
        <f>IFERROR(F:F/E:E,0)</f>
        <v>0</v>
      </c>
      <c r="L51" s="49">
        <f>I:I-H:H</f>
        <v>0</v>
      </c>
      <c r="M51" s="48">
        <f>IFERROR(1-(I:I/H:H),0)</f>
        <v>0</v>
      </c>
    </row>
    <row r="52" spans="1:13" x14ac:dyDescent="0.15">
      <c r="A52" s="23" t="str">
        <f>'Building Exterior'!A38</f>
        <v>Pergola</v>
      </c>
      <c r="B52" s="50" t="str">
        <f>'Building Exterior'!B38</f>
        <v>None scope</v>
      </c>
      <c r="C52" s="50" t="str">
        <f>'Building Exterior'!C38</f>
        <v>Repair or add Pergola to back of the house</v>
      </c>
      <c r="D52" s="21">
        <f>'Building Exterior'!D38</f>
        <v>0</v>
      </c>
      <c r="E52" s="21">
        <f>'Building Exterior'!E38</f>
        <v>0</v>
      </c>
      <c r="F52" s="21">
        <f>'Building Exterior'!F38</f>
        <v>0</v>
      </c>
      <c r="G52" s="21">
        <f>'Building Exterior'!G38</f>
        <v>0</v>
      </c>
      <c r="H52" s="22">
        <f>'Building Exterior'!H38</f>
        <v>0</v>
      </c>
      <c r="I52" s="22">
        <f>'Building Exterior'!I38</f>
        <v>0</v>
      </c>
      <c r="J52" s="62" t="str">
        <f>IF(F:F&gt;0,F:F-E:E,"-")</f>
        <v>-</v>
      </c>
      <c r="K52" s="59">
        <f>IFERROR(F:F/E:E,0)</f>
        <v>0</v>
      </c>
      <c r="L52" s="49">
        <f>I:I-H:H</f>
        <v>0</v>
      </c>
      <c r="M52" s="48">
        <f>IFERROR(1-(I:I/H:H),0)</f>
        <v>0</v>
      </c>
    </row>
    <row r="53" spans="1:13" x14ac:dyDescent="0.15">
      <c r="A53" s="23" t="str">
        <f>'Building Exterior'!A42</f>
        <v>Windows</v>
      </c>
      <c r="B53" s="50" t="str">
        <f>'Building Exterior'!B42</f>
        <v>Out for Bid</v>
      </c>
      <c r="C53" s="50" t="str">
        <f>'Building Exterior'!C42</f>
        <v>Replace exterior windows.</v>
      </c>
      <c r="D53" s="21">
        <f>MIN('Building Exterior'!D42:D50)</f>
        <v>0</v>
      </c>
      <c r="E53" s="21">
        <f>MAX('Building Exterior'!E42:E50)</f>
        <v>0</v>
      </c>
      <c r="F53" s="21">
        <f>'Building Exterior'!F42</f>
        <v>0</v>
      </c>
      <c r="G53" s="21">
        <f>'Building Exterior'!G42</f>
        <v>0</v>
      </c>
      <c r="H53" s="22">
        <f>SUM('Building Exterior'!H42:H50)</f>
        <v>7850</v>
      </c>
      <c r="I53" s="22">
        <f>SUM('Building Exterior'!I42:I50)</f>
        <v>0</v>
      </c>
      <c r="J53" s="62" t="str">
        <f>IF(F:F&gt;0,F:F-E:E,"-")</f>
        <v>-</v>
      </c>
      <c r="K53" s="59">
        <f>IFERROR(F:F/E:E,0)</f>
        <v>0</v>
      </c>
      <c r="L53" s="49">
        <f>I:I-H:H</f>
        <v>-7850</v>
      </c>
      <c r="M53" s="48">
        <f>IFERROR(1-(I:I/H:H),0)</f>
        <v>1</v>
      </c>
    </row>
    <row r="54" spans="1:13" ht="26" x14ac:dyDescent="0.15">
      <c r="A54" s="23" t="str">
        <f>'Building Exterior'!A52</f>
        <v>French doors</v>
      </c>
      <c r="B54" s="50" t="str">
        <f>'Building Exterior'!B52</f>
        <v>Out for Bid</v>
      </c>
      <c r="C54" s="50" t="str">
        <f>'Building Exterior'!C52</f>
        <v>Replace sliding glass door in dining room with French doors.</v>
      </c>
      <c r="D54" s="21">
        <f>'Building Exterior'!D52</f>
        <v>0</v>
      </c>
      <c r="E54" s="21">
        <f>'Building Exterior'!E52</f>
        <v>0</v>
      </c>
      <c r="F54" s="21">
        <f>'Building Exterior'!F52</f>
        <v>0</v>
      </c>
      <c r="G54" s="21">
        <f>'Building Exterior'!G52</f>
        <v>0</v>
      </c>
      <c r="H54" s="22">
        <f>'Building Exterior'!H52</f>
        <v>1150</v>
      </c>
      <c r="I54" s="22">
        <f>'Building Exterior'!I52</f>
        <v>0</v>
      </c>
      <c r="J54" s="62" t="str">
        <f>IF(F:F&gt;0,F:F-E:E,"-")</f>
        <v>-</v>
      </c>
      <c r="K54" s="59">
        <f>IFERROR(F:F/E:E,0)</f>
        <v>0</v>
      </c>
      <c r="L54" s="49">
        <f>I:I-H:H</f>
        <v>-1150</v>
      </c>
      <c r="M54" s="48">
        <f>IFERROR(1-(I:I/H:H),0)</f>
        <v>1</v>
      </c>
    </row>
    <row r="55" spans="1:13" x14ac:dyDescent="0.15">
      <c r="A55" s="23" t="str">
        <f>'Building Exterior'!A54</f>
        <v>Contingency</v>
      </c>
      <c r="B55" s="71">
        <f>'Building Exterior'!B54</f>
        <v>0</v>
      </c>
      <c r="C55" s="71">
        <f>'Building Exterior'!C54</f>
        <v>0</v>
      </c>
      <c r="D55" s="21">
        <f>'Building Exterior'!D54</f>
        <v>0</v>
      </c>
      <c r="E55" s="21">
        <f>'Building Exterior'!E54</f>
        <v>0</v>
      </c>
      <c r="F55" s="21">
        <f>'Building Exterior'!F54</f>
        <v>0</v>
      </c>
      <c r="G55" s="21">
        <f>'Building Exterior'!G54</f>
        <v>0</v>
      </c>
      <c r="H55" s="22">
        <f>'Building Exterior'!H54</f>
        <v>582.5</v>
      </c>
      <c r="I55" s="22">
        <f>'Building Exterior'!I54</f>
        <v>0</v>
      </c>
      <c r="J55" s="62" t="str">
        <f>IF(F:F&gt;0,F:F-E:E,"-")</f>
        <v>-</v>
      </c>
      <c r="K55" s="59">
        <f>IFERROR(F:F/E:E,0)</f>
        <v>0</v>
      </c>
      <c r="L55" s="49">
        <f>I:I-H:H</f>
        <v>-582.5</v>
      </c>
      <c r="M55" s="48">
        <f>IFERROR(1-(I:I/H:H),0)</f>
        <v>1</v>
      </c>
    </row>
    <row r="56" spans="1:13" x14ac:dyDescent="0.15">
      <c r="A56" s="23" t="str">
        <f>'Building Exterior'!A56</f>
        <v>Changes</v>
      </c>
      <c r="B56" s="50" t="str">
        <f>'Building Exterior'!B56</f>
        <v>TBD</v>
      </c>
      <c r="C56" s="50" t="str">
        <f>'Building Exterior'!C56</f>
        <v>Change order 1</v>
      </c>
      <c r="D56" s="21">
        <f>'Building Exterior'!D56</f>
        <v>0</v>
      </c>
      <c r="E56" s="21">
        <f>'Building Exterior'!E56</f>
        <v>0</v>
      </c>
      <c r="F56" s="21">
        <f>'Building Exterior'!F56</f>
        <v>0</v>
      </c>
      <c r="G56" s="21">
        <f>'Building Exterior'!G56</f>
        <v>0</v>
      </c>
      <c r="H56" s="22">
        <f>SUM(H47:H54)*5%</f>
        <v>582.5</v>
      </c>
      <c r="I56" s="22">
        <f>'Building Exterior'!I56</f>
        <v>0</v>
      </c>
      <c r="J56" s="62" t="str">
        <f>IF(F:F&gt;0,F:F-E:E,"-")</f>
        <v>-</v>
      </c>
      <c r="K56" s="59">
        <f>IFERROR(F:F/E:E,0)</f>
        <v>0</v>
      </c>
      <c r="L56" s="49">
        <f>I:I-H:H</f>
        <v>-582.5</v>
      </c>
      <c r="M56" s="48">
        <f>IFERROR(1-(I:I/H:H),0)</f>
        <v>1</v>
      </c>
    </row>
    <row r="57" spans="1:13" x14ac:dyDescent="0.15">
      <c r="B57" s="50" t="str">
        <f>'Building Exterior'!B57</f>
        <v>TBD</v>
      </c>
      <c r="C57" s="50" t="str">
        <f>'Building Exterior'!C57</f>
        <v>Change order 2</v>
      </c>
      <c r="D57" s="21">
        <f>'Building Exterior'!D57</f>
        <v>0</v>
      </c>
      <c r="E57" s="21">
        <f>'Building Exterior'!E57</f>
        <v>0</v>
      </c>
      <c r="F57" s="21">
        <f>'Building Exterior'!F57</f>
        <v>0</v>
      </c>
      <c r="G57" s="21">
        <f>'Building Exterior'!G57</f>
        <v>0</v>
      </c>
      <c r="H57" s="22">
        <v>0</v>
      </c>
      <c r="I57" s="22">
        <f>'Building Exterior'!I57</f>
        <v>0</v>
      </c>
      <c r="J57" s="62" t="str">
        <f>IF(F:F&gt;0,F:F-E:E,"-")</f>
        <v>-</v>
      </c>
      <c r="K57" s="59">
        <f>IFERROR(F:F/E:E,0)</f>
        <v>0</v>
      </c>
      <c r="L57" s="49">
        <f>I:I-H:H</f>
        <v>0</v>
      </c>
      <c r="M57" s="48">
        <f>IFERROR(1-(I:I/H:H),0)</f>
        <v>0</v>
      </c>
    </row>
    <row r="58" spans="1:13" x14ac:dyDescent="0.15">
      <c r="B58" s="50" t="str">
        <f>'Building Exterior'!B58</f>
        <v>TBD</v>
      </c>
      <c r="C58" s="50" t="str">
        <f>'Building Exterior'!C58</f>
        <v>Change order 3</v>
      </c>
      <c r="D58" s="21">
        <f>'Building Exterior'!D58</f>
        <v>0</v>
      </c>
      <c r="E58" s="21">
        <f>'Building Exterior'!E58</f>
        <v>0</v>
      </c>
      <c r="F58" s="21">
        <f>'Building Exterior'!F58</f>
        <v>0</v>
      </c>
      <c r="G58" s="21">
        <f>'Building Exterior'!G58</f>
        <v>0</v>
      </c>
      <c r="H58" s="22">
        <v>0</v>
      </c>
      <c r="I58" s="22">
        <f>'Building Exterior'!I58</f>
        <v>0</v>
      </c>
      <c r="J58" s="62" t="str">
        <f>IF(F:F&gt;0,F:F-E:E,"-")</f>
        <v>-</v>
      </c>
      <c r="K58" s="59">
        <f>IFERROR(F:F/E:E,0)</f>
        <v>0</v>
      </c>
      <c r="L58" s="49">
        <f>I:I-H:H</f>
        <v>0</v>
      </c>
      <c r="M58" s="48">
        <f>IFERROR(1-(I:I/H:H),0)</f>
        <v>0</v>
      </c>
    </row>
    <row r="59" spans="1:13" ht="16" customHeight="1" x14ac:dyDescent="0.15">
      <c r="B59" s="50"/>
      <c r="C59" s="50"/>
      <c r="L59" s="49"/>
      <c r="M59" s="48"/>
    </row>
    <row r="60" spans="1:13" ht="14" x14ac:dyDescent="0.15">
      <c r="A60" s="47" t="s">
        <v>117</v>
      </c>
      <c r="B60" s="50"/>
      <c r="C60" s="50"/>
    </row>
    <row r="61" spans="1:13" x14ac:dyDescent="0.15">
      <c r="A61" s="23" t="str">
        <f>Landscaping!A12</f>
        <v>Lawn</v>
      </c>
      <c r="B61" s="23" t="str">
        <f>Landscaping!B12</f>
        <v>Out for Bid</v>
      </c>
      <c r="C61" s="50" t="str">
        <f>Landscaping!C12</f>
        <v>Reseed or resod front and back lawns.</v>
      </c>
      <c r="D61" s="21">
        <f>Landscaping!D12</f>
        <v>0</v>
      </c>
      <c r="E61" s="21">
        <f>Landscaping!E12</f>
        <v>0</v>
      </c>
      <c r="F61" s="21">
        <f>Landscaping!F12</f>
        <v>0</v>
      </c>
      <c r="G61" s="21">
        <f>Landscaping!G12</f>
        <v>0</v>
      </c>
      <c r="H61" s="22">
        <f>Landscaping!H12</f>
        <v>200</v>
      </c>
      <c r="I61" s="22">
        <f>Landscaping!I12</f>
        <v>0</v>
      </c>
      <c r="J61" s="62" t="str">
        <f>IF(F:F&gt;0,F:F-E:E,"-")</f>
        <v>-</v>
      </c>
      <c r="K61" s="59">
        <f>IFERROR(F:F/E:E,0)</f>
        <v>0</v>
      </c>
      <c r="L61" s="49">
        <f>I:I-H:H</f>
        <v>-200</v>
      </c>
      <c r="M61" s="48">
        <f>IFERROR(1-(I:I/H:H),0)</f>
        <v>1</v>
      </c>
    </row>
    <row r="62" spans="1:13" x14ac:dyDescent="0.15">
      <c r="A62" s="23" t="str">
        <f>Landscaping!A15</f>
        <v>Shrubs and trees</v>
      </c>
      <c r="B62" s="23" t="str">
        <f>Landscaping!B15</f>
        <v>Out for Bid</v>
      </c>
      <c r="C62" s="50" t="str">
        <f>Landscaping!C15</f>
        <v>Plant shrubs and trees in front and back yards</v>
      </c>
      <c r="D62" s="21">
        <f>Landscaping!D15</f>
        <v>0</v>
      </c>
      <c r="E62" s="21">
        <f>Landscaping!E15</f>
        <v>0</v>
      </c>
      <c r="F62" s="21">
        <f>Landscaping!F15</f>
        <v>0</v>
      </c>
      <c r="G62" s="21">
        <f>Landscaping!G15</f>
        <v>0</v>
      </c>
      <c r="H62" s="22">
        <f>Landscaping!H15</f>
        <v>200</v>
      </c>
      <c r="I62" s="22">
        <f>Landscaping!I15</f>
        <v>0</v>
      </c>
      <c r="J62" s="62" t="str">
        <f>IF(F:F&gt;0,F:F-E:E,"-")</f>
        <v>-</v>
      </c>
      <c r="K62" s="59">
        <f>IFERROR(F:F/E:E,0)</f>
        <v>0</v>
      </c>
      <c r="L62" s="49">
        <f>I:I-H:H</f>
        <v>-200</v>
      </c>
      <c r="M62" s="48">
        <f>IFERROR(1-(I:I/H:H),0)</f>
        <v>1</v>
      </c>
    </row>
    <row r="63" spans="1:13" x14ac:dyDescent="0.15">
      <c r="A63" s="23" t="str">
        <f>Landscaping!A23</f>
        <v>Flower beds</v>
      </c>
      <c r="B63" s="23" t="str">
        <f>Landscaping!B23</f>
        <v>Out for Bids</v>
      </c>
      <c r="C63" s="50" t="str">
        <f>Landscaping!C23</f>
        <v>Plant flowers in beds in front and back of the house</v>
      </c>
      <c r="D63" s="21">
        <f>Landscaping!D23</f>
        <v>0</v>
      </c>
      <c r="E63" s="21">
        <f>Landscaping!E23</f>
        <v>0</v>
      </c>
      <c r="F63" s="21">
        <f>Landscaping!F23</f>
        <v>0</v>
      </c>
      <c r="G63" s="21">
        <f>Landscaping!G23</f>
        <v>0</v>
      </c>
      <c r="H63" s="22">
        <f>Landscaping!H23</f>
        <v>150</v>
      </c>
      <c r="I63" s="22">
        <f>Landscaping!I23</f>
        <v>0</v>
      </c>
      <c r="J63" s="62" t="str">
        <f>IF(F:F&gt;0,F:F-E:E,"-")</f>
        <v>-</v>
      </c>
      <c r="K63" s="59">
        <f>IFERROR(F:F/E:E,0)</f>
        <v>0</v>
      </c>
      <c r="L63" s="49">
        <f>I:I-H:H</f>
        <v>-150</v>
      </c>
      <c r="M63" s="48">
        <f>IFERROR(1-(I:I/H:H),0)</f>
        <v>1</v>
      </c>
    </row>
    <row r="64" spans="1:13" x14ac:dyDescent="0.15">
      <c r="A64" s="23" t="str">
        <f>Landscaping!A28</f>
        <v>Dtainage</v>
      </c>
      <c r="B64" s="23" t="str">
        <f>Landscaping!B28</f>
        <v>Out for Bids</v>
      </c>
      <c r="C64" s="50" t="str">
        <f>Landscaping!C28</f>
        <v>Cut driveway concrete for French drain</v>
      </c>
      <c r="D64" s="21">
        <f>Landscaping!D28</f>
        <v>0</v>
      </c>
      <c r="E64" s="21">
        <f>Landscaping!E28</f>
        <v>0</v>
      </c>
      <c r="F64" s="21">
        <f>Landscaping!F28</f>
        <v>0</v>
      </c>
      <c r="G64" s="21">
        <f>Landscaping!G28</f>
        <v>0</v>
      </c>
      <c r="H64" s="22">
        <f>Landscaping!H28</f>
        <v>1270</v>
      </c>
      <c r="I64" s="22">
        <f>Landscaping!I28</f>
        <v>0</v>
      </c>
      <c r="J64" s="62" t="str">
        <f>IF(F:F&gt;0,F:F-E:E,"-")</f>
        <v>-</v>
      </c>
      <c r="K64" s="59">
        <f>IFERROR(F:F/E:E,0)</f>
        <v>0</v>
      </c>
      <c r="L64" s="49">
        <f>I:I-H:H</f>
        <v>-1270</v>
      </c>
      <c r="M64" s="48">
        <f>IFERROR(1-(I:I/H:H),0)</f>
        <v>1</v>
      </c>
    </row>
    <row r="65" spans="1:13" x14ac:dyDescent="0.15">
      <c r="A65" s="23" t="str">
        <f>Landscaping!A32</f>
        <v>Fencing</v>
      </c>
      <c r="B65" s="23" t="str">
        <f>Landscaping!B32</f>
        <v>None scoped</v>
      </c>
      <c r="C65" s="50" t="str">
        <f>Landscaping!C32</f>
        <v>Replace or repair fence around the back yard.</v>
      </c>
      <c r="D65" s="21">
        <f>Landscaping!D32</f>
        <v>0</v>
      </c>
      <c r="E65" s="21">
        <f>Landscaping!E32</f>
        <v>0</v>
      </c>
      <c r="F65" s="21">
        <f>Landscaping!F32</f>
        <v>0</v>
      </c>
      <c r="G65" s="21">
        <f>Landscaping!G32</f>
        <v>0</v>
      </c>
      <c r="H65" s="22">
        <f>Landscaping!H32</f>
        <v>0</v>
      </c>
      <c r="I65" s="22">
        <f>Landscaping!I32</f>
        <v>0</v>
      </c>
      <c r="J65" s="62" t="str">
        <f>IF(F:F&gt;0,F:F-E:E,"-")</f>
        <v>-</v>
      </c>
      <c r="K65" s="59">
        <f>IFERROR(F:F/E:E,0)</f>
        <v>0</v>
      </c>
      <c r="L65" s="49">
        <f>I:I-H:H</f>
        <v>0</v>
      </c>
      <c r="M65" s="48">
        <f>IFERROR(1-(I:I/H:H),0)</f>
        <v>0</v>
      </c>
    </row>
    <row r="66" spans="1:13" x14ac:dyDescent="0.15">
      <c r="A66" s="23" t="str">
        <f>Landscaping!A38</f>
        <v>Contingency</v>
      </c>
      <c r="B66" s="23">
        <f>Landscaping!B38</f>
        <v>0</v>
      </c>
      <c r="C66" s="72">
        <f>Landscaping!C38</f>
        <v>0</v>
      </c>
      <c r="D66" s="21">
        <f>Landscaping!D38</f>
        <v>0</v>
      </c>
      <c r="E66" s="21">
        <f>Landscaping!E38</f>
        <v>0</v>
      </c>
      <c r="F66" s="21">
        <f>Landscaping!F38</f>
        <v>0</v>
      </c>
      <c r="G66" s="21">
        <f>Landscaping!G38</f>
        <v>0</v>
      </c>
      <c r="H66" s="22">
        <f>Landscaping!H38</f>
        <v>216</v>
      </c>
      <c r="I66" s="22">
        <f>Landscaping!I40</f>
        <v>0</v>
      </c>
      <c r="J66" s="62" t="str">
        <f>IF(F:F&gt;0,F:F-E:E,"-")</f>
        <v>-</v>
      </c>
      <c r="K66" s="59">
        <f>IFERROR(F:F/E:E,0)</f>
        <v>0</v>
      </c>
      <c r="L66" s="49">
        <f>I:I-H:H</f>
        <v>-216</v>
      </c>
      <c r="M66" s="48">
        <f>IFERROR(1-(I:I/H:H),0)</f>
        <v>1</v>
      </c>
    </row>
    <row r="67" spans="1:13" x14ac:dyDescent="0.15">
      <c r="A67" s="23" t="str">
        <f>Landscaping!A43</f>
        <v>Changes</v>
      </c>
      <c r="B67" s="23" t="str">
        <f>Landscaping!B43</f>
        <v>TBD</v>
      </c>
      <c r="C67" s="50" t="str">
        <f>Landscaping!C43</f>
        <v>Change order 1</v>
      </c>
      <c r="D67" s="21">
        <f>Landscaping!D43</f>
        <v>0</v>
      </c>
      <c r="E67" s="21">
        <f>Landscaping!E43</f>
        <v>0</v>
      </c>
      <c r="F67" s="21">
        <f>Landscaping!F43</f>
        <v>0</v>
      </c>
      <c r="G67" s="21">
        <f>Landscaping!G43</f>
        <v>0</v>
      </c>
      <c r="H67" s="22">
        <f>SUM(H61:H64)*5%</f>
        <v>91</v>
      </c>
      <c r="I67" s="22">
        <f>Landscaping!I43</f>
        <v>0</v>
      </c>
      <c r="J67" s="62" t="str">
        <f>IF(F:F&gt;0,F:F-E:E,"-")</f>
        <v>-</v>
      </c>
      <c r="K67" s="59">
        <f>IFERROR(F:F/E:E,0)</f>
        <v>0</v>
      </c>
      <c r="L67" s="49">
        <f>I:I-H:H</f>
        <v>-91</v>
      </c>
      <c r="M67" s="48">
        <f>IFERROR(1-(I:I/H:H),0)</f>
        <v>1</v>
      </c>
    </row>
    <row r="68" spans="1:13" x14ac:dyDescent="0.15">
      <c r="B68" s="23" t="str">
        <f>Landscaping!B44</f>
        <v>TBD</v>
      </c>
      <c r="C68" s="50" t="str">
        <f>Landscaping!C44</f>
        <v>Change order 2</v>
      </c>
      <c r="D68" s="21">
        <f>Landscaping!D44</f>
        <v>0</v>
      </c>
      <c r="E68" s="21">
        <f>Landscaping!E44</f>
        <v>0</v>
      </c>
      <c r="F68" s="21">
        <f>Landscaping!F44</f>
        <v>0</v>
      </c>
      <c r="G68" s="21">
        <f>Landscaping!G44</f>
        <v>0</v>
      </c>
      <c r="H68" s="22">
        <v>0</v>
      </c>
      <c r="I68" s="22">
        <f>Landscaping!I44</f>
        <v>0</v>
      </c>
      <c r="J68" s="62" t="str">
        <f>IF(F:F&gt;0,F:F-E:E,"-")</f>
        <v>-</v>
      </c>
      <c r="K68" s="59">
        <f>IFERROR(F:F/E:E,0)</f>
        <v>0</v>
      </c>
      <c r="L68" s="49">
        <f>I:I-H:H</f>
        <v>0</v>
      </c>
      <c r="M68" s="48">
        <f>IFERROR(1-(I:I/H:H),0)</f>
        <v>0</v>
      </c>
    </row>
    <row r="69" spans="1:13" x14ac:dyDescent="0.15">
      <c r="B69" s="23" t="str">
        <f>Landscaping!B45</f>
        <v>TBD</v>
      </c>
      <c r="C69" s="50" t="str">
        <f>Landscaping!C45</f>
        <v>Change order 3</v>
      </c>
      <c r="D69" s="21">
        <f>Landscaping!D45</f>
        <v>0</v>
      </c>
      <c r="E69" s="21">
        <f>Landscaping!E45</f>
        <v>0</v>
      </c>
      <c r="F69" s="21">
        <f>Landscaping!F45</f>
        <v>0</v>
      </c>
      <c r="G69" s="21">
        <f>Landscaping!G45</f>
        <v>0</v>
      </c>
      <c r="H69" s="22">
        <v>0</v>
      </c>
      <c r="I69" s="22">
        <f>Landscaping!I45</f>
        <v>0</v>
      </c>
      <c r="J69" s="62" t="str">
        <f>IF(F:F&gt;0,F:F-E:E,"-")</f>
        <v>-</v>
      </c>
      <c r="K69" s="59">
        <f>IFERROR(F:F/E:E,0)</f>
        <v>0</v>
      </c>
      <c r="L69" s="49">
        <f>I:I-H:H</f>
        <v>0</v>
      </c>
      <c r="M69" s="48">
        <f>IFERROR(1-(I:I/H:H),0)</f>
        <v>0</v>
      </c>
    </row>
    <row r="70" spans="1:13" x14ac:dyDescent="0.15">
      <c r="B70" s="50"/>
      <c r="C70" s="50"/>
    </row>
    <row r="71" spans="1:13" ht="14" x14ac:dyDescent="0.15">
      <c r="A71" s="47" t="s">
        <v>210</v>
      </c>
      <c r="B71" s="50"/>
      <c r="C71" s="50"/>
    </row>
    <row r="72" spans="1:13" x14ac:dyDescent="0.15">
      <c r="A72" s="23" t="str">
        <f>'Interior Demo'!A12</f>
        <v>Planned Demo</v>
      </c>
      <c r="B72" s="50" t="str">
        <f>'Interior Demo'!B12</f>
        <v>Out for Bids</v>
      </c>
      <c r="C72" s="50" t="str">
        <f>'Interior Demo'!C12</f>
        <v>Planned demolition</v>
      </c>
      <c r="D72" s="21">
        <f>'Interior Demo'!D12</f>
        <v>0</v>
      </c>
      <c r="E72" s="21">
        <f>'Interior Demo'!E12</f>
        <v>0</v>
      </c>
      <c r="F72" s="21">
        <f>'Interior Demo'!F12</f>
        <v>0</v>
      </c>
      <c r="G72" s="21">
        <f>'Interior Demo'!G12</f>
        <v>0</v>
      </c>
      <c r="H72" s="22">
        <f>'Interior Demo'!H12</f>
        <v>3183.5</v>
      </c>
      <c r="I72" s="22">
        <f>'Interior Demo'!I12</f>
        <v>0</v>
      </c>
      <c r="J72" s="62" t="str">
        <f>IF(F:F&gt;0,F:F-E:E,"-")</f>
        <v>-</v>
      </c>
      <c r="K72" s="59">
        <f>IFERROR(F:F/E:E,0)</f>
        <v>0</v>
      </c>
      <c r="L72" s="49">
        <f>I:I-H:H</f>
        <v>-3183.5</v>
      </c>
      <c r="M72" s="48">
        <f>IFERROR(1-(I:I/H:H),0)</f>
        <v>1</v>
      </c>
    </row>
    <row r="73" spans="1:13" x14ac:dyDescent="0.15">
      <c r="A73" s="23" t="str">
        <f>'Interior Demo'!A21</f>
        <v>Ceilings</v>
      </c>
      <c r="B73" s="50" t="str">
        <f>'Interior Demo'!B21</f>
        <v>Out for Bids</v>
      </c>
      <c r="C73" s="50" t="str">
        <f>'Interior Demo'!C21</f>
        <v>Remove all popcorn from ceilings</v>
      </c>
      <c r="D73" s="21">
        <f>'Interior Demo'!D21</f>
        <v>0</v>
      </c>
      <c r="E73" s="21">
        <f>'Interior Demo'!E21</f>
        <v>0</v>
      </c>
      <c r="F73" s="21">
        <f>'Interior Demo'!F21</f>
        <v>0</v>
      </c>
      <c r="G73" s="21">
        <f>'Interior Demo'!G21</f>
        <v>0</v>
      </c>
      <c r="H73" s="22">
        <f>'Interior Demo'!H21</f>
        <v>0</v>
      </c>
      <c r="I73" s="22">
        <f>'Interior Demo'!I21</f>
        <v>0</v>
      </c>
      <c r="J73" s="62" t="str">
        <f>IF(F:F&gt;0,F:F-E:E,"-")</f>
        <v>-</v>
      </c>
      <c r="K73" s="59">
        <f>IFERROR(F:F/E:E,0)</f>
        <v>0</v>
      </c>
      <c r="L73" s="49">
        <f>I:I-H:H</f>
        <v>0</v>
      </c>
      <c r="M73" s="48">
        <f>IFERROR(1-(I:I/H:H),0)</f>
        <v>0</v>
      </c>
    </row>
    <row r="74" spans="1:13" x14ac:dyDescent="0.15">
      <c r="A74" s="23" t="str">
        <f>'Interior Demo'!A23</f>
        <v>Contingency</v>
      </c>
      <c r="B74" s="50" t="str">
        <f>'Interior Demo'!B23</f>
        <v xml:space="preserve"> </v>
      </c>
      <c r="C74" s="50" t="str">
        <f>'Interior Demo'!C23</f>
        <v xml:space="preserve"> </v>
      </c>
      <c r="D74" s="21">
        <f>'Interior Demo'!D23</f>
        <v>0</v>
      </c>
      <c r="E74" s="21">
        <f>'Interior Demo'!E23</f>
        <v>0</v>
      </c>
      <c r="F74" s="21">
        <f>'Interior Demo'!F23</f>
        <v>0</v>
      </c>
      <c r="G74" s="21">
        <f>'Interior Demo'!G23</f>
        <v>0</v>
      </c>
      <c r="H74" s="22">
        <f>'Interior Demo'!H23</f>
        <v>318.35000000000002</v>
      </c>
      <c r="I74" s="22">
        <f>'Interior Demo'!I23</f>
        <v>0</v>
      </c>
      <c r="J74" s="62" t="str">
        <f>IF(F:F&gt;0,F:F-E:E,"-")</f>
        <v>-</v>
      </c>
      <c r="K74" s="59">
        <f>IFERROR(F:F/E:E,0)</f>
        <v>0</v>
      </c>
      <c r="L74" s="49">
        <f>I:I-H:H</f>
        <v>-318.35000000000002</v>
      </c>
      <c r="M74" s="48">
        <f>IFERROR(1-(I:I/H:H),0)</f>
        <v>1</v>
      </c>
    </row>
    <row r="75" spans="1:13" x14ac:dyDescent="0.15">
      <c r="A75" s="23" t="str">
        <f>'Interior Demo'!A24</f>
        <v>Changes</v>
      </c>
      <c r="B75" s="50" t="str">
        <f>'Interior Demo'!B24</f>
        <v>TBD</v>
      </c>
      <c r="C75" s="50" t="str">
        <f>'Interior Demo'!C24</f>
        <v>Change order 1</v>
      </c>
      <c r="D75" s="21">
        <f>'Interior Demo'!D24</f>
        <v>0</v>
      </c>
      <c r="E75" s="21">
        <f>'Interior Demo'!E24</f>
        <v>0</v>
      </c>
      <c r="F75" s="21">
        <f>'Interior Demo'!F24</f>
        <v>0</v>
      </c>
      <c r="G75" s="21">
        <f>'Interior Demo'!G24</f>
        <v>0</v>
      </c>
      <c r="H75" s="22">
        <f>SUM(H72:H74)*0.05</f>
        <v>175.0925</v>
      </c>
      <c r="I75" s="22">
        <f>'Interior Demo'!I24</f>
        <v>0</v>
      </c>
      <c r="J75" s="62" t="str">
        <f>IF(F:F&gt;0,F:F-E:E,"-")</f>
        <v>-</v>
      </c>
      <c r="K75" s="59">
        <f>IFERROR(F:F/E:E,0)</f>
        <v>0</v>
      </c>
      <c r="L75" s="49">
        <f>I:I-H:H</f>
        <v>-175.0925</v>
      </c>
      <c r="M75" s="48">
        <f>IFERROR(1-(I:I/H:H),0)</f>
        <v>1</v>
      </c>
    </row>
    <row r="76" spans="1:13" x14ac:dyDescent="0.15">
      <c r="B76" s="50"/>
      <c r="C76" s="50" t="str">
        <f>'Interior Demo'!C25</f>
        <v>Change order 2</v>
      </c>
      <c r="D76" s="21">
        <f>'Interior Demo'!D25</f>
        <v>0</v>
      </c>
      <c r="E76" s="21">
        <f>'Interior Demo'!E25</f>
        <v>0</v>
      </c>
      <c r="F76" s="21">
        <f>'Interior Demo'!F25</f>
        <v>0</v>
      </c>
      <c r="G76" s="21">
        <f>'Interior Demo'!G25</f>
        <v>0</v>
      </c>
      <c r="H76" s="22">
        <v>0</v>
      </c>
      <c r="I76" s="22">
        <f>'Interior Demo'!I25</f>
        <v>0</v>
      </c>
      <c r="J76" s="62" t="str">
        <f>IF(F:F&gt;0,F:F-E:E,"-")</f>
        <v>-</v>
      </c>
      <c r="K76" s="59">
        <f>IFERROR(F:F/E:E,0)</f>
        <v>0</v>
      </c>
      <c r="L76" s="49">
        <f>I:I-H:H</f>
        <v>0</v>
      </c>
      <c r="M76" s="48">
        <f>IFERROR(1-(I:I/H:H),0)</f>
        <v>0</v>
      </c>
    </row>
    <row r="77" spans="1:13" x14ac:dyDescent="0.15">
      <c r="B77" s="50"/>
      <c r="C77" s="50" t="str">
        <f>'Interior Demo'!C26</f>
        <v>Change order 3</v>
      </c>
      <c r="D77" s="21">
        <f>'Interior Demo'!D26</f>
        <v>0</v>
      </c>
      <c r="E77" s="21">
        <f>'Interior Demo'!E26</f>
        <v>0</v>
      </c>
      <c r="F77" s="21">
        <f>'Interior Demo'!F26</f>
        <v>0</v>
      </c>
      <c r="G77" s="21">
        <f>'Interior Demo'!G26</f>
        <v>0</v>
      </c>
      <c r="H77" s="22">
        <v>0</v>
      </c>
      <c r="I77" s="22">
        <f>'Interior Demo'!I26</f>
        <v>0</v>
      </c>
      <c r="J77" s="62" t="str">
        <f>IF(F:F&gt;0,F:F-E:E,"-")</f>
        <v>-</v>
      </c>
      <c r="K77" s="59">
        <f>IFERROR(F:F/E:E,0)</f>
        <v>0</v>
      </c>
      <c r="L77" s="49">
        <f>I:I-H:H</f>
        <v>0</v>
      </c>
      <c r="M77" s="48">
        <f>IFERROR(1-(I:I/H:H),0)</f>
        <v>0</v>
      </c>
    </row>
    <row r="78" spans="1:13" x14ac:dyDescent="0.15">
      <c r="B78" s="50"/>
      <c r="C78" s="50"/>
      <c r="L78" s="49"/>
      <c r="M78" s="48"/>
    </row>
    <row r="79" spans="1:13" ht="14" x14ac:dyDescent="0.15">
      <c r="A79" s="47" t="s">
        <v>153</v>
      </c>
      <c r="B79" s="50"/>
      <c r="C79" s="50"/>
      <c r="L79" s="49"/>
      <c r="M79" s="48"/>
    </row>
    <row r="80" spans="1:13" ht="26" x14ac:dyDescent="0.15">
      <c r="A80" s="23" t="str">
        <f>Plumbing!A12</f>
        <v>Permits</v>
      </c>
      <c r="B80" s="50" t="str">
        <f>Plumbing!B12</f>
        <v>Out for Bids</v>
      </c>
      <c r="C80" s="50" t="str">
        <f>Plumbing!C12</f>
        <v>Pull permits as needed to complete work described below.</v>
      </c>
      <c r="D80" s="21">
        <f>Plumbing!D12</f>
        <v>42859</v>
      </c>
      <c r="E80" s="21">
        <f>Plumbing!E12</f>
        <v>42874</v>
      </c>
      <c r="F80" s="21">
        <f>Plumbing!F12</f>
        <v>0</v>
      </c>
      <c r="G80" s="21">
        <f>Plumbing!G12</f>
        <v>0</v>
      </c>
      <c r="H80" s="22">
        <f>Plumbing!H12</f>
        <v>300</v>
      </c>
      <c r="I80" s="22">
        <f>Plumbing!I12</f>
        <v>0</v>
      </c>
      <c r="J80" s="62" t="str">
        <f>IF(F:F&gt;0,F:F-E:E,"-")</f>
        <v>-</v>
      </c>
      <c r="K80" s="59">
        <f>IFERROR(F:F/E:E,0)</f>
        <v>0</v>
      </c>
      <c r="L80" s="49">
        <f>I:I-H:H</f>
        <v>-300</v>
      </c>
      <c r="M80" s="48">
        <f>IFERROR(1-(I:I/H:H),0)</f>
        <v>1</v>
      </c>
    </row>
    <row r="81" spans="1:13" ht="26" x14ac:dyDescent="0.15">
      <c r="A81" s="23" t="str">
        <f>Plumbing!A14</f>
        <v>Water heater</v>
      </c>
      <c r="B81" s="50" t="str">
        <f>Plumbing!B14</f>
        <v>Out for Bids</v>
      </c>
      <c r="C81" s="50" t="str">
        <f>Plumbing!C14</f>
        <v>Raise water heater in laundry area and bring to current code.</v>
      </c>
      <c r="D81" s="21">
        <f>Plumbing!D14</f>
        <v>42874</v>
      </c>
      <c r="E81" s="21">
        <f>Plumbing!E14</f>
        <v>42875</v>
      </c>
      <c r="F81" s="21">
        <f>Plumbing!F14</f>
        <v>0</v>
      </c>
      <c r="G81" s="21">
        <f>Plumbing!G14</f>
        <v>0</v>
      </c>
      <c r="H81" s="22">
        <f>Plumbing!H14</f>
        <v>795</v>
      </c>
      <c r="I81" s="22">
        <f>Plumbing!I14</f>
        <v>0</v>
      </c>
      <c r="J81" s="62" t="str">
        <f>IF(F:F&gt;0,F:F-E:E,"-")</f>
        <v>-</v>
      </c>
      <c r="K81" s="59">
        <f>IFERROR(F:F/E:E,0)</f>
        <v>0</v>
      </c>
      <c r="L81" s="49">
        <f>I:I-H:H</f>
        <v>-795</v>
      </c>
      <c r="M81" s="48">
        <f>IFERROR(1-(I:I/H:H),0)</f>
        <v>1</v>
      </c>
    </row>
    <row r="82" spans="1:13" x14ac:dyDescent="0.15">
      <c r="A82" s="23" t="str">
        <f>Plumbing!A19</f>
        <v>Exterior</v>
      </c>
      <c r="B82" s="50" t="str">
        <f>Plumbing!B19</f>
        <v>Not scoped</v>
      </c>
      <c r="C82" s="50" t="str">
        <f>Plumbing!C19</f>
        <v>Replace all exterior faucets.</v>
      </c>
      <c r="D82" s="21">
        <f>Plumbing!D19</f>
        <v>42859</v>
      </c>
      <c r="E82" s="21">
        <f>Plumbing!E19</f>
        <v>42859.5</v>
      </c>
      <c r="F82" s="21">
        <f>Plumbing!F19</f>
        <v>0</v>
      </c>
      <c r="G82" s="21">
        <f>Plumbing!G19</f>
        <v>0</v>
      </c>
      <c r="H82" s="22">
        <f>Plumbing!H19</f>
        <v>0</v>
      </c>
      <c r="I82" s="22">
        <f>Plumbing!I19</f>
        <v>0</v>
      </c>
      <c r="J82" s="62" t="str">
        <f>IF(F:F&gt;0,F:F-E:E,"-")</f>
        <v>-</v>
      </c>
      <c r="K82" s="59">
        <f>IFERROR(F:F/E:E,0)</f>
        <v>0</v>
      </c>
      <c r="L82" s="49">
        <f>I:I-H:H</f>
        <v>0</v>
      </c>
      <c r="M82" s="48">
        <f>IFERROR(1-(I:I/H:H),0)</f>
        <v>0</v>
      </c>
    </row>
    <row r="83" spans="1:13" x14ac:dyDescent="0.15">
      <c r="A83" s="23" t="str">
        <f>Plumbing!A23</f>
        <v>Misc.</v>
      </c>
      <c r="B83" s="50" t="str">
        <f>Plumbing!B23</f>
        <v>Out for bids</v>
      </c>
      <c r="C83" s="50" t="str">
        <f>Plumbing!C23</f>
        <v>Miscellaneous work immediately following demolition.</v>
      </c>
      <c r="D83" s="57">
        <f>Plumbing!D23</f>
        <v>42875</v>
      </c>
      <c r="E83" s="21">
        <f>Plumbing!E23</f>
        <v>42880</v>
      </c>
      <c r="F83" s="21">
        <f>Plumbing!F23</f>
        <v>0</v>
      </c>
      <c r="G83" s="21">
        <f>Plumbing!G23</f>
        <v>0</v>
      </c>
      <c r="H83" s="22">
        <f>Plumbing!H23</f>
        <v>275</v>
      </c>
      <c r="I83" s="22">
        <f>Plumbing!I23</f>
        <v>0</v>
      </c>
      <c r="J83" s="62" t="str">
        <f>IF(F:F&gt;0,F:F-E:E,"-")</f>
        <v>-</v>
      </c>
      <c r="K83" s="59">
        <f>IFERROR(F:F/E:E,0)</f>
        <v>0</v>
      </c>
      <c r="L83" s="49">
        <f>I:I-H:H</f>
        <v>-275</v>
      </c>
      <c r="M83" s="48">
        <f>IFERROR(1-(I:I/H:H),0)</f>
        <v>1</v>
      </c>
    </row>
    <row r="84" spans="1:13" ht="26" x14ac:dyDescent="0.15">
      <c r="A84" s="23" t="str">
        <f>Plumbing!A30</f>
        <v>Kitchen and Baths</v>
      </c>
      <c r="B84" s="50" t="str">
        <f>Plumbing!B30</f>
        <v>Out for Bids</v>
      </c>
      <c r="C84" s="50" t="s">
        <v>211</v>
      </c>
      <c r="D84" s="57">
        <f>Plumbing!D30</f>
        <v>0</v>
      </c>
      <c r="E84" s="21">
        <f>Plumbing!E30</f>
        <v>0</v>
      </c>
      <c r="F84" s="21">
        <f>Plumbing!F30</f>
        <v>0</v>
      </c>
      <c r="G84" s="21">
        <f>Plumbing!G30</f>
        <v>0</v>
      </c>
      <c r="H84" s="22">
        <f>Plumbing!H30</f>
        <v>0</v>
      </c>
      <c r="I84" s="22">
        <f>Plumbing!I30</f>
        <v>0</v>
      </c>
      <c r="J84" s="62" t="str">
        <f>IF(F:F&gt;0,F:F-E:E,"-")</f>
        <v>-</v>
      </c>
      <c r="K84" s="59">
        <f>IFERROR(F:F/E:E,0)</f>
        <v>0</v>
      </c>
      <c r="L84" s="49">
        <f>I:I-H:H</f>
        <v>0</v>
      </c>
      <c r="M84" s="48">
        <f>IFERROR(1-(I:I/H:H),0)</f>
        <v>0</v>
      </c>
    </row>
    <row r="85" spans="1:13" x14ac:dyDescent="0.15">
      <c r="A85" s="23" t="str">
        <f>Plumbing!A31</f>
        <v>Contingency</v>
      </c>
      <c r="B85" s="72" t="str">
        <f>Plumbing!B31</f>
        <v xml:space="preserve"> </v>
      </c>
      <c r="C85" s="72" t="str">
        <f>Plumbing!C31</f>
        <v xml:space="preserve"> </v>
      </c>
      <c r="D85" s="57">
        <f>Plumbing!D31</f>
        <v>0</v>
      </c>
      <c r="E85" s="21">
        <f>Plumbing!E31</f>
        <v>0</v>
      </c>
      <c r="F85" s="21">
        <f>Plumbing!F31</f>
        <v>0</v>
      </c>
      <c r="G85" s="21">
        <f>Plumbing!G31</f>
        <v>0</v>
      </c>
      <c r="H85" s="22">
        <f>Plumbing!H31</f>
        <v>122</v>
      </c>
      <c r="I85" s="22">
        <f>Plumbing!I31</f>
        <v>0</v>
      </c>
      <c r="J85" s="62" t="str">
        <f>IF(F:F&gt;0,F:F-E:E,"-")</f>
        <v>-</v>
      </c>
      <c r="K85" s="59">
        <f>IFERROR(F:F/E:E,0)</f>
        <v>0</v>
      </c>
      <c r="L85" s="49">
        <f>I:I-H:H</f>
        <v>-122</v>
      </c>
      <c r="M85" s="48">
        <f>IFERROR(1-(I:I/H:H),0)</f>
        <v>1</v>
      </c>
    </row>
    <row r="86" spans="1:13" x14ac:dyDescent="0.15">
      <c r="A86" s="23" t="str">
        <f>Plumbing!A32</f>
        <v>Changes</v>
      </c>
      <c r="B86" s="50" t="str">
        <f>Plumbing!B32</f>
        <v>TBD</v>
      </c>
      <c r="C86" s="50" t="str">
        <f>Plumbing!C32</f>
        <v>Change order 1</v>
      </c>
      <c r="D86" s="57">
        <f>Plumbing!D32</f>
        <v>0</v>
      </c>
      <c r="E86" s="21">
        <f>Plumbing!E32</f>
        <v>0</v>
      </c>
      <c r="F86" s="21">
        <f>Plumbing!F32</f>
        <v>0</v>
      </c>
      <c r="G86" s="21">
        <f>Plumbing!G32</f>
        <v>0</v>
      </c>
      <c r="H86" s="22">
        <f>SUM(H80:H84)+0.05</f>
        <v>1370.05</v>
      </c>
      <c r="I86" s="22">
        <f>Plumbing!I32</f>
        <v>0</v>
      </c>
      <c r="J86" s="62" t="str">
        <f>IF(F:F&gt;0,F:F-E:E,"-")</f>
        <v>-</v>
      </c>
      <c r="K86" s="59">
        <f>IFERROR(F:F/E:E,0)</f>
        <v>0</v>
      </c>
      <c r="L86" s="49">
        <f>I:I-H:H</f>
        <v>-1370.05</v>
      </c>
      <c r="M86" s="48">
        <f>IFERROR(1-(I:I/H:H),0)</f>
        <v>1</v>
      </c>
    </row>
    <row r="87" spans="1:13" x14ac:dyDescent="0.15">
      <c r="B87" s="50" t="str">
        <f>Plumbing!B33</f>
        <v>TBD</v>
      </c>
      <c r="C87" s="50" t="str">
        <f>Plumbing!C33</f>
        <v>Change order 2</v>
      </c>
      <c r="D87" s="57">
        <f>Plumbing!D33</f>
        <v>0</v>
      </c>
      <c r="E87" s="21">
        <f>Plumbing!E33</f>
        <v>0</v>
      </c>
      <c r="F87" s="21">
        <f>Plumbing!F33</f>
        <v>0</v>
      </c>
      <c r="G87" s="21">
        <f>Plumbing!G33</f>
        <v>0</v>
      </c>
      <c r="H87" s="22">
        <v>0</v>
      </c>
      <c r="I87" s="22">
        <f>Plumbing!I33</f>
        <v>0</v>
      </c>
      <c r="J87" s="62" t="str">
        <f>IF(F:F&gt;0,F:F-E:E,"-")</f>
        <v>-</v>
      </c>
      <c r="K87" s="59">
        <f>IFERROR(F:F/E:E,0)</f>
        <v>0</v>
      </c>
      <c r="L87" s="49">
        <f>I:I-H:H</f>
        <v>0</v>
      </c>
      <c r="M87" s="48">
        <f>IFERROR(1-(I:I/H:H),0)</f>
        <v>0</v>
      </c>
    </row>
    <row r="88" spans="1:13" x14ac:dyDescent="0.15">
      <c r="B88" s="50" t="str">
        <f>Plumbing!B34</f>
        <v>TBD</v>
      </c>
      <c r="C88" s="50" t="str">
        <f>Plumbing!C34</f>
        <v>Change order 3</v>
      </c>
      <c r="D88" s="57">
        <f>Plumbing!D34</f>
        <v>0</v>
      </c>
      <c r="E88" s="21">
        <f>Plumbing!E34</f>
        <v>0</v>
      </c>
      <c r="F88" s="21">
        <f>Plumbing!F34</f>
        <v>0</v>
      </c>
      <c r="G88" s="21">
        <f>Plumbing!G34</f>
        <v>0</v>
      </c>
      <c r="H88" s="22">
        <v>0</v>
      </c>
      <c r="I88" s="22">
        <f>Plumbing!I34</f>
        <v>0</v>
      </c>
      <c r="J88" s="62" t="str">
        <f>IF(F:F&gt;0,F:F-E:E,"-")</f>
        <v>-</v>
      </c>
      <c r="K88" s="59">
        <f>IFERROR(F:F/E:E,0)</f>
        <v>0</v>
      </c>
      <c r="L88" s="49">
        <f>I:I-H:H</f>
        <v>0</v>
      </c>
      <c r="M88" s="48">
        <f>IFERROR(1-(I:I/H:H),0)</f>
        <v>0</v>
      </c>
    </row>
    <row r="89" spans="1:13" x14ac:dyDescent="0.15">
      <c r="B89" s="50"/>
      <c r="C89" s="50"/>
      <c r="D89" s="57"/>
      <c r="L89" s="49"/>
      <c r="M89" s="48"/>
    </row>
    <row r="90" spans="1:13" ht="14" x14ac:dyDescent="0.15">
      <c r="A90" s="47" t="s">
        <v>178</v>
      </c>
      <c r="B90" s="50"/>
      <c r="C90" s="50"/>
      <c r="D90" s="57"/>
      <c r="L90" s="49"/>
      <c r="M90" s="48"/>
    </row>
    <row r="91" spans="1:13" x14ac:dyDescent="0.15">
      <c r="A91" s="23" t="str">
        <f>Electrical!A12</f>
        <v>Permits</v>
      </c>
      <c r="B91" s="23" t="str">
        <f>Electrical!B12</f>
        <v>Out for Bids</v>
      </c>
      <c r="C91" s="23" t="str">
        <f>Electrical!C12</f>
        <v>Pull permits as needed to complete work described below.</v>
      </c>
      <c r="D91" s="58">
        <f>Electrical!D12</f>
        <v>42859</v>
      </c>
      <c r="E91" s="58">
        <f>Electrical!E12</f>
        <v>42874</v>
      </c>
      <c r="F91" s="58">
        <f>Electrical!F12</f>
        <v>0</v>
      </c>
      <c r="G91" s="58">
        <f>Electrical!G12</f>
        <v>0</v>
      </c>
      <c r="H91" s="22">
        <f>Electrical!H12</f>
        <v>300</v>
      </c>
      <c r="I91" s="22">
        <f>Electrical!I12</f>
        <v>0</v>
      </c>
      <c r="J91" s="62">
        <f>F:F-E:E</f>
        <v>-42874</v>
      </c>
      <c r="K91" s="59">
        <f>F:F/E:E</f>
        <v>0</v>
      </c>
      <c r="L91" s="49">
        <f>I:I-H:H</f>
        <v>-300</v>
      </c>
      <c r="M91" s="48">
        <f>1-(I:I/H:H)</f>
        <v>1</v>
      </c>
    </row>
    <row r="92" spans="1:13" x14ac:dyDescent="0.15">
      <c r="A92" s="23" t="str">
        <f>Electrical!A14</f>
        <v>Service Connect</v>
      </c>
      <c r="B92" s="23" t="str">
        <f>Electrical!B14</f>
        <v>Not scoped</v>
      </c>
      <c r="C92" s="23" t="str">
        <f>Electrical!C14</f>
        <v>Bring electrical service connect to code.</v>
      </c>
      <c r="D92" s="58">
        <f>Electrical!D14</f>
        <v>42874</v>
      </c>
      <c r="E92" s="58">
        <f>Electrical!E14</f>
        <v>42876</v>
      </c>
      <c r="F92" s="58">
        <f>Electrical!F14</f>
        <v>0</v>
      </c>
      <c r="G92" s="58">
        <f>Electrical!G14</f>
        <v>0</v>
      </c>
      <c r="H92" s="22">
        <f>Electrical!H14</f>
        <v>0</v>
      </c>
      <c r="I92" s="22">
        <f>Electrical!I14</f>
        <v>0</v>
      </c>
      <c r="J92" s="62">
        <f>F:F-E:E</f>
        <v>-42876</v>
      </c>
      <c r="K92" s="59">
        <f>F:F/E:E</f>
        <v>0</v>
      </c>
      <c r="L92" s="49">
        <f>I:I-H:H</f>
        <v>0</v>
      </c>
      <c r="M92" s="48" t="e">
        <f>1-(I:I/H:H)</f>
        <v>#DIV/0!</v>
      </c>
    </row>
    <row r="93" spans="1:13" x14ac:dyDescent="0.15">
      <c r="A93" s="23" t="str">
        <f>Electrical!A18</f>
        <v>Kitchen and Baths</v>
      </c>
      <c r="B93" s="23">
        <f>Electrical!B18</f>
        <v>0</v>
      </c>
      <c r="C93" s="23" t="str">
        <f>Electrical!C18</f>
        <v>See the sections on kitchen and bathrooms for additional information.</v>
      </c>
      <c r="D93" s="58">
        <f>Electrical!D18</f>
        <v>42874</v>
      </c>
      <c r="E93" s="58">
        <f>Electrical!E18</f>
        <v>42875</v>
      </c>
      <c r="F93" s="58">
        <f>Electrical!F18</f>
        <v>0</v>
      </c>
      <c r="G93" s="58">
        <f>Electrical!G18</f>
        <v>0</v>
      </c>
      <c r="H93" s="22">
        <f>Electrical!H18</f>
        <v>0</v>
      </c>
      <c r="I93" s="22">
        <f>Electrical!I18</f>
        <v>0</v>
      </c>
      <c r="J93" s="62" t="str">
        <f>IF(F:F&gt;0,F:F-E:E,"-")</f>
        <v>-</v>
      </c>
      <c r="K93" s="59">
        <f>IFERROR(F:F/E:E,0)</f>
        <v>0</v>
      </c>
      <c r="L93" s="49">
        <f>I:I-H:H</f>
        <v>0</v>
      </c>
      <c r="M93" s="48">
        <f>IFERROR(1-(I:I/H:H),0)</f>
        <v>0</v>
      </c>
    </row>
    <row r="94" spans="1:13" x14ac:dyDescent="0.15">
      <c r="A94" s="23" t="str">
        <f>Electrical!A20</f>
        <v>Misc. Electrical</v>
      </c>
      <c r="B94" s="23" t="str">
        <f>Electrical!B20</f>
        <v>Out for bids</v>
      </c>
      <c r="C94" s="23" t="str">
        <f>Electrical!C20</f>
        <v>Fix various code and esthetic issues, including all listed in Inspection Report.</v>
      </c>
      <c r="D94" s="58">
        <f>Electrical!D20</f>
        <v>42877</v>
      </c>
      <c r="E94" s="58">
        <f>Electrical!E20</f>
        <v>42879</v>
      </c>
      <c r="F94" s="58">
        <f>Electrical!F20</f>
        <v>0</v>
      </c>
      <c r="G94" s="58">
        <f>Electrical!G20</f>
        <v>0</v>
      </c>
      <c r="H94" s="22">
        <f>Electrical!H20</f>
        <v>2027.5</v>
      </c>
      <c r="I94" s="22">
        <f>Electrical!I20</f>
        <v>0</v>
      </c>
      <c r="J94" s="62" t="str">
        <f>IF(F:F&gt;0,F:F-E:E,"-")</f>
        <v>-</v>
      </c>
      <c r="K94" s="59">
        <f>IFERROR(F:F/E:E,0)</f>
        <v>0</v>
      </c>
      <c r="L94" s="49">
        <f>I:I-H:H</f>
        <v>-2027.5</v>
      </c>
      <c r="M94" s="48">
        <f>IFERROR(1-(I:I/H:H),0)</f>
        <v>1</v>
      </c>
    </row>
    <row r="95" spans="1:13" x14ac:dyDescent="0.15">
      <c r="A95" s="23" t="str">
        <f>Electrical!A27</f>
        <v>Fixtures</v>
      </c>
      <c r="B95" s="23" t="str">
        <f>Electrical!B27</f>
        <v>Out for Bids</v>
      </c>
      <c r="C95" s="23" t="str">
        <f>Electrical!C27</f>
        <v>Replace all light fixtures</v>
      </c>
      <c r="D95" s="58">
        <f>Electrical!D27</f>
        <v>42879</v>
      </c>
      <c r="E95" s="58">
        <f>Electrical!E27</f>
        <v>42880</v>
      </c>
      <c r="F95" s="58">
        <f>Electrical!F27</f>
        <v>0</v>
      </c>
      <c r="G95" s="58">
        <f>Electrical!G27</f>
        <v>0</v>
      </c>
      <c r="H95" s="22">
        <f>Electrical!H27</f>
        <v>2830</v>
      </c>
      <c r="I95" s="22">
        <f>Electrical!I27</f>
        <v>0</v>
      </c>
      <c r="J95" s="62" t="str">
        <f>IF(F:F&gt;0,F:F-E:E,"-")</f>
        <v>-</v>
      </c>
      <c r="K95" s="59">
        <f>IFERROR(F:F/E:E,0)</f>
        <v>0</v>
      </c>
      <c r="L95" s="49">
        <f>I:I-H:H</f>
        <v>-2830</v>
      </c>
      <c r="M95" s="48">
        <f>IFERROR(1-(I:I/H:H),0)</f>
        <v>1</v>
      </c>
    </row>
    <row r="96" spans="1:13" x14ac:dyDescent="0.15">
      <c r="A96" s="23" t="str">
        <f>Electrical!A33</f>
        <v xml:space="preserve">Exterior </v>
      </c>
      <c r="B96" s="23" t="str">
        <f>Electrical!B33</f>
        <v>Out for Bids</v>
      </c>
      <c r="C96" s="23" t="str">
        <f>Electrical!C33</f>
        <v>Replace all exterior lights. (7 @ $60 allowance)</v>
      </c>
      <c r="D96" s="58">
        <f>Electrical!D33</f>
        <v>42880</v>
      </c>
      <c r="E96" s="58">
        <f>Electrical!E33</f>
        <v>42880</v>
      </c>
      <c r="F96" s="58">
        <f>Electrical!F33</f>
        <v>0</v>
      </c>
      <c r="G96" s="58">
        <f>Electrical!G33</f>
        <v>0</v>
      </c>
      <c r="H96" s="22">
        <f>Electrical!H33</f>
        <v>700</v>
      </c>
      <c r="I96" s="22">
        <f>Electrical!I33</f>
        <v>0</v>
      </c>
      <c r="J96" s="62" t="str">
        <f>IF(F:F&gt;0,F:F-E:E,"-")</f>
        <v>-</v>
      </c>
      <c r="K96" s="59">
        <f>IFERROR(F:F/E:E,0)</f>
        <v>0</v>
      </c>
      <c r="L96" s="49">
        <f>I:I-H:H</f>
        <v>-700</v>
      </c>
      <c r="M96" s="48">
        <f>IFERROR(1-(I:I/H:H),0)</f>
        <v>1</v>
      </c>
    </row>
    <row r="97" spans="1:13" x14ac:dyDescent="0.15">
      <c r="A97" s="23" t="str">
        <f>Electrical!A36</f>
        <v>Ceiling Fans</v>
      </c>
      <c r="B97" s="23" t="str">
        <f>Electrical!B36</f>
        <v>Out for Bids</v>
      </c>
      <c r="C97" s="23" t="str">
        <f>Electrical!C36</f>
        <v>Replace ceiling fans (allow $800 for materials)</v>
      </c>
      <c r="D97" s="58">
        <f>Electrical!D36</f>
        <v>42881</v>
      </c>
      <c r="E97" s="58">
        <f>Electrical!E36</f>
        <v>42882</v>
      </c>
      <c r="F97" s="58">
        <f>Electrical!F36</f>
        <v>0</v>
      </c>
      <c r="G97" s="58">
        <f>Electrical!G36</f>
        <v>0</v>
      </c>
      <c r="H97" s="22">
        <f>Electrical!H36</f>
        <v>1400</v>
      </c>
      <c r="I97" s="22">
        <f>Electrical!I36</f>
        <v>0</v>
      </c>
      <c r="J97" s="62" t="str">
        <f>IF(F:F&gt;0,F:F-E:E,"-")</f>
        <v>-</v>
      </c>
      <c r="K97" s="59">
        <f>IFERROR(F:F/E:E,0)</f>
        <v>0</v>
      </c>
      <c r="L97" s="49">
        <f>I:I-H:H</f>
        <v>-1400</v>
      </c>
      <c r="M97" s="48">
        <f>IFERROR(1-(I:I/H:H),0)</f>
        <v>1</v>
      </c>
    </row>
    <row r="98" spans="1:13" x14ac:dyDescent="0.15">
      <c r="A98" s="23" t="str">
        <f>Electrical!A42</f>
        <v>Smoke &amp; CO2</v>
      </c>
      <c r="B98" s="23" t="str">
        <f>Electrical!B42</f>
        <v>Out for Bids</v>
      </c>
      <c r="C98" s="23" t="str">
        <f>Electrical!C42</f>
        <v>Install smoke detectors and CO2 detectors as required by code.</v>
      </c>
      <c r="D98" s="58">
        <f>Electrical!D42</f>
        <v>42882</v>
      </c>
      <c r="E98" s="58">
        <f>Electrical!E42</f>
        <v>42883</v>
      </c>
      <c r="F98" s="58">
        <f>Electrical!F42</f>
        <v>0</v>
      </c>
      <c r="G98" s="58">
        <f>Electrical!G42</f>
        <v>0</v>
      </c>
      <c r="H98" s="22">
        <f>Electrical!H42</f>
        <v>0</v>
      </c>
      <c r="I98" s="22">
        <f>Electrical!I42</f>
        <v>0</v>
      </c>
      <c r="J98" s="62" t="str">
        <f>IF(F:F&gt;0,F:F-E:E,"-")</f>
        <v>-</v>
      </c>
      <c r="K98" s="59">
        <f>IFERROR(F:F/E:E,0)</f>
        <v>0</v>
      </c>
      <c r="L98" s="49">
        <f>I:I-H:H</f>
        <v>0</v>
      </c>
      <c r="M98" s="48">
        <f>IFERROR(1-(I:I/H:H),0)</f>
        <v>0</v>
      </c>
    </row>
    <row r="99" spans="1:13" x14ac:dyDescent="0.15">
      <c r="A99" s="23" t="str">
        <f>Electrical!A43</f>
        <v>Contingency</v>
      </c>
      <c r="B99" s="23" t="str">
        <f>Electrical!B43</f>
        <v xml:space="preserve"> </v>
      </c>
      <c r="C99" s="23" t="str">
        <f>Electrical!C43</f>
        <v xml:space="preserve"> </v>
      </c>
      <c r="D99" s="58">
        <f>Electrical!D43</f>
        <v>0</v>
      </c>
      <c r="E99" s="58">
        <f>Electrical!E43</f>
        <v>0</v>
      </c>
      <c r="F99" s="58">
        <f>Electrical!F43</f>
        <v>0</v>
      </c>
      <c r="G99" s="58">
        <f>Electrical!G43</f>
        <v>0</v>
      </c>
      <c r="H99" s="22">
        <f>Electrical!H43</f>
        <v>605.75</v>
      </c>
      <c r="I99" s="22">
        <f>Electrical!I43</f>
        <v>0</v>
      </c>
      <c r="J99" s="62" t="str">
        <f>IF(F:F&gt;0,F:F-E:E,"-")</f>
        <v>-</v>
      </c>
      <c r="K99" s="59">
        <f>IFERROR(F:F/E:E,0)</f>
        <v>0</v>
      </c>
      <c r="L99" s="49">
        <f>I:I-H:H</f>
        <v>-605.75</v>
      </c>
      <c r="M99" s="48">
        <f>IFERROR(1-(I:I/H:H),0)</f>
        <v>1</v>
      </c>
    </row>
    <row r="100" spans="1:13" x14ac:dyDescent="0.15">
      <c r="A100" s="23" t="str">
        <f>Electrical!A44</f>
        <v>Changes</v>
      </c>
      <c r="B100" s="23" t="str">
        <f>Electrical!B44</f>
        <v>TBD</v>
      </c>
      <c r="C100" s="23" t="str">
        <f>Electrical!C44</f>
        <v>Change order 1</v>
      </c>
      <c r="D100" s="58">
        <f>Electrical!D44</f>
        <v>0</v>
      </c>
      <c r="E100" s="58">
        <f>Electrical!E44</f>
        <v>0</v>
      </c>
      <c r="F100" s="58">
        <f>Electrical!F44</f>
        <v>0</v>
      </c>
      <c r="G100" s="58">
        <f>Electrical!G44</f>
        <v>0</v>
      </c>
      <c r="H100" s="22">
        <f>SUM(H91:H98)*0.05</f>
        <v>362.875</v>
      </c>
      <c r="I100" s="22">
        <f>Electrical!I44</f>
        <v>0</v>
      </c>
      <c r="J100" s="62" t="str">
        <f>IF(F:F&gt;0,F:F-E:E,"-")</f>
        <v>-</v>
      </c>
      <c r="K100" s="59">
        <f>IFERROR(F:F/E:E,0)</f>
        <v>0</v>
      </c>
      <c r="L100" s="49">
        <f>I:I-H:H</f>
        <v>-362.875</v>
      </c>
      <c r="M100" s="48">
        <f>IFERROR(1-(I:I/H:H),0)</f>
        <v>1</v>
      </c>
    </row>
    <row r="101" spans="1:13" x14ac:dyDescent="0.15">
      <c r="B101" s="23" t="str">
        <f>Electrical!B45</f>
        <v>TBD</v>
      </c>
      <c r="C101" s="23" t="str">
        <f>Electrical!C45</f>
        <v>Change order 2</v>
      </c>
      <c r="D101" s="58">
        <f>Electrical!D45</f>
        <v>0</v>
      </c>
      <c r="E101" s="58">
        <f>Electrical!E45</f>
        <v>0</v>
      </c>
      <c r="F101" s="58">
        <f>Electrical!F45</f>
        <v>0</v>
      </c>
      <c r="G101" s="58">
        <f>Electrical!G45</f>
        <v>0</v>
      </c>
      <c r="H101" s="22">
        <v>0</v>
      </c>
      <c r="I101" s="22">
        <f>Electrical!I45</f>
        <v>0</v>
      </c>
      <c r="J101" s="62" t="str">
        <f>IF(F:F&gt;0,F:F-E:E,"-")</f>
        <v>-</v>
      </c>
      <c r="K101" s="59">
        <f>IFERROR(F:F/E:E,0)</f>
        <v>0</v>
      </c>
      <c r="L101" s="49">
        <f>I:I-H:H</f>
        <v>0</v>
      </c>
      <c r="M101" s="48">
        <f>IFERROR(1-(I:I/H:H),0)</f>
        <v>0</v>
      </c>
    </row>
    <row r="102" spans="1:13" x14ac:dyDescent="0.15">
      <c r="B102" s="23" t="str">
        <f>Electrical!B46</f>
        <v>TBD</v>
      </c>
      <c r="C102" s="23" t="str">
        <f>Electrical!C46</f>
        <v>Change order 3</v>
      </c>
      <c r="D102" s="58">
        <f>Electrical!D46</f>
        <v>0</v>
      </c>
      <c r="E102" s="58">
        <f>Electrical!E46</f>
        <v>0</v>
      </c>
      <c r="F102" s="58">
        <f>Electrical!F46</f>
        <v>0</v>
      </c>
      <c r="G102" s="58">
        <f>Electrical!G46</f>
        <v>0</v>
      </c>
      <c r="H102" s="22">
        <v>0</v>
      </c>
      <c r="I102" s="22">
        <f>Electrical!I46</f>
        <v>0</v>
      </c>
      <c r="J102" s="62" t="str">
        <f>IF(F:F&gt;0,F:F-E:E,"-")</f>
        <v>-</v>
      </c>
      <c r="K102" s="59">
        <f>IFERROR(F:F/E:E,0)</f>
        <v>0</v>
      </c>
      <c r="L102" s="49">
        <f>I:I-H:H</f>
        <v>0</v>
      </c>
      <c r="M102" s="48">
        <f>IFERROR(1-(I:I/H:H),0)</f>
        <v>0</v>
      </c>
    </row>
    <row r="103" spans="1:13" x14ac:dyDescent="0.15">
      <c r="B103" s="50"/>
      <c r="C103" s="50"/>
      <c r="D103" s="57"/>
      <c r="E103" s="57"/>
      <c r="F103" s="57"/>
      <c r="G103" s="57"/>
      <c r="L103" s="49"/>
      <c r="M103" s="48"/>
    </row>
    <row r="104" spans="1:13" ht="14" x14ac:dyDescent="0.15">
      <c r="A104" s="47" t="s">
        <v>212</v>
      </c>
      <c r="B104" s="50"/>
      <c r="C104" s="50"/>
      <c r="D104" s="57"/>
      <c r="E104" s="57"/>
      <c r="F104" s="57"/>
      <c r="G104" s="57"/>
      <c r="L104" s="49"/>
      <c r="M104" s="48"/>
    </row>
    <row r="105" spans="1:13" ht="52" x14ac:dyDescent="0.15">
      <c r="A105" s="23" t="str">
        <f>HVAC!A12</f>
        <v>Test and Service</v>
      </c>
      <c r="B105" s="50" t="str">
        <f>HVAC!B12</f>
        <v>Out for bid</v>
      </c>
      <c r="C105" s="50" t="str">
        <f>HVAC!C12</f>
        <v>Test and service existing HVAC. Make recommendations for repair/replacement with justification. Cost will be applied to further work, if approved.</v>
      </c>
      <c r="D105" s="57">
        <f>HVAC!D12</f>
        <v>42859</v>
      </c>
      <c r="E105" s="57">
        <f>HVAC!E12</f>
        <v>42864</v>
      </c>
      <c r="F105" s="57">
        <f>HVAC!F12</f>
        <v>0</v>
      </c>
      <c r="G105" s="57">
        <f>HVAC!G12</f>
        <v>0</v>
      </c>
      <c r="H105" s="22">
        <f>HVAC!H12</f>
        <v>200</v>
      </c>
      <c r="I105" s="22">
        <f>HVAC!I12</f>
        <v>0</v>
      </c>
      <c r="J105" s="62" t="str">
        <f>IF(F:F&gt;0,F:F-E:E,"-")</f>
        <v>-</v>
      </c>
      <c r="K105" s="59">
        <f>IFERROR(F:F/E:E,0)</f>
        <v>0</v>
      </c>
      <c r="L105" s="49">
        <f>I:I-H:H</f>
        <v>-200</v>
      </c>
      <c r="M105" s="48">
        <f>IFERROR(1-(I:I/H:H),0)</f>
        <v>1</v>
      </c>
    </row>
    <row r="106" spans="1:13" ht="26" x14ac:dyDescent="0.15">
      <c r="A106" s="23" t="str">
        <f>HVAC!A14</f>
        <v>Permits</v>
      </c>
      <c r="B106" s="52" t="str">
        <f>HVAC!B14</f>
        <v>Not in scope</v>
      </c>
      <c r="C106" s="52" t="str">
        <f>HVAC!C14</f>
        <v>Pull permits as needed to complete work described below.</v>
      </c>
      <c r="D106" s="57">
        <f>HVAC!D14</f>
        <v>42869</v>
      </c>
      <c r="E106" s="57">
        <f>HVAC!E14</f>
        <v>42884</v>
      </c>
      <c r="F106" s="57">
        <f>HVAC!F14</f>
        <v>0</v>
      </c>
      <c r="G106" s="57">
        <f>HVAC!G14</f>
        <v>0</v>
      </c>
      <c r="H106" s="22">
        <f>HVAC!H14</f>
        <v>500</v>
      </c>
      <c r="I106" s="22">
        <f>HVAC!I14</f>
        <v>0</v>
      </c>
      <c r="J106" s="62" t="str">
        <f>IF(F:F&gt;0,F:F-E:E,"-")</f>
        <v>-</v>
      </c>
      <c r="K106" s="59">
        <f>IFERROR(F:F/E:E,0)</f>
        <v>0</v>
      </c>
      <c r="L106" s="49">
        <f>I:I-H:H</f>
        <v>-500</v>
      </c>
      <c r="M106" s="48">
        <f>IFERROR(1-(I:I/H:H),0)</f>
        <v>1</v>
      </c>
    </row>
    <row r="107" spans="1:13" ht="26" x14ac:dyDescent="0.15">
      <c r="A107" s="23" t="str">
        <f>HVAC!A16</f>
        <v>Duct work</v>
      </c>
      <c r="B107" s="52" t="str">
        <f>HVAC!B16</f>
        <v>Not in scope</v>
      </c>
      <c r="C107" s="52" t="str">
        <f>HVAC!C16</f>
        <v>Demo any existing ductwork and replace to current code.</v>
      </c>
      <c r="D107" s="57">
        <f>HVAC!D16</f>
        <v>42869</v>
      </c>
      <c r="E107" s="57">
        <f>HVAC!E16</f>
        <v>42871</v>
      </c>
      <c r="F107" s="57">
        <f>HVAC!F16</f>
        <v>0</v>
      </c>
      <c r="G107" s="57">
        <f>HVAC!G16</f>
        <v>0</v>
      </c>
      <c r="H107" s="22">
        <f>HVAC!H16</f>
        <v>0</v>
      </c>
      <c r="I107" s="22">
        <f>HVAC!I16</f>
        <v>0</v>
      </c>
      <c r="J107" s="62" t="str">
        <f>IF(F:F&gt;0,F:F-E:E,"-")</f>
        <v>-</v>
      </c>
      <c r="K107" s="59">
        <f>IFERROR(F:F/E:E,0)</f>
        <v>0</v>
      </c>
      <c r="L107" s="49">
        <f>I:I-H:H</f>
        <v>0</v>
      </c>
      <c r="M107" s="48">
        <f>IFERROR(1-(I:I/H:H),0)</f>
        <v>0</v>
      </c>
    </row>
    <row r="108" spans="1:13" ht="26" x14ac:dyDescent="0.15">
      <c r="A108" s="23" t="str">
        <f>HVAC!A18</f>
        <v>Mechanicals</v>
      </c>
      <c r="B108" s="52" t="str">
        <f>HVAC!B18</f>
        <v>Not in scope</v>
      </c>
      <c r="C108" s="52" t="str">
        <f>HVAC!C18</f>
        <v>Replace existing mechanicals with high-efficiency equipment and programable thermostats</v>
      </c>
      <c r="D108" s="57">
        <f>HVAC!D18</f>
        <v>42885</v>
      </c>
      <c r="E108" s="57">
        <f>HVAC!E18</f>
        <v>42890</v>
      </c>
      <c r="F108" s="57">
        <f>HVAC!F18</f>
        <v>0</v>
      </c>
      <c r="G108" s="57">
        <f>HVAC!G18</f>
        <v>0</v>
      </c>
      <c r="H108" s="22">
        <f>HVAC!H18</f>
        <v>0</v>
      </c>
      <c r="I108" s="22">
        <f>HVAC!I18</f>
        <v>0</v>
      </c>
      <c r="J108" s="62" t="str">
        <f>IF(F:F&gt;0,F:F-E:E,"-")</f>
        <v>-</v>
      </c>
      <c r="K108" s="59">
        <f>IFERROR(F:F/E:E,0)</f>
        <v>0</v>
      </c>
      <c r="L108" s="49">
        <f>I:I-H:H</f>
        <v>0</v>
      </c>
      <c r="M108" s="48">
        <f>IFERROR(1-(I:I/H:H),0)</f>
        <v>0</v>
      </c>
    </row>
    <row r="109" spans="1:13" x14ac:dyDescent="0.15">
      <c r="A109" s="23" t="str">
        <f>HVAC!A23</f>
        <v>Contingency</v>
      </c>
      <c r="B109" s="72" t="str">
        <f>HVAC!B23</f>
        <v xml:space="preserve"> </v>
      </c>
      <c r="C109" s="72" t="str">
        <f>HVAC!C23</f>
        <v xml:space="preserve"> </v>
      </c>
      <c r="D109" s="57">
        <f>HVAC!D23</f>
        <v>0</v>
      </c>
      <c r="E109" s="57">
        <f>HVAC!E23</f>
        <v>0</v>
      </c>
      <c r="F109" s="57">
        <f>HVAC!F23</f>
        <v>0</v>
      </c>
      <c r="G109" s="57">
        <f>HVAC!G23</f>
        <v>0</v>
      </c>
      <c r="H109" s="22">
        <f>HVAC!H23</f>
        <v>35</v>
      </c>
      <c r="I109" s="22">
        <f>HVAC!I23</f>
        <v>0</v>
      </c>
      <c r="J109" s="62" t="str">
        <f>IF(F:F&gt;0,F:F-E:E,"-")</f>
        <v>-</v>
      </c>
      <c r="K109" s="59">
        <f>IFERROR(F:F/E:E,0)</f>
        <v>0</v>
      </c>
      <c r="L109" s="49">
        <f>I:I-H:H</f>
        <v>-35</v>
      </c>
      <c r="M109" s="48">
        <f>IFERROR(1-(I:I/H:H),0)</f>
        <v>1</v>
      </c>
    </row>
    <row r="110" spans="1:13" x14ac:dyDescent="0.15">
      <c r="A110" s="23" t="str">
        <f>HVAC!A24</f>
        <v>Changes</v>
      </c>
      <c r="B110" s="52" t="str">
        <f>HVAC!B24</f>
        <v>TBD</v>
      </c>
      <c r="C110" s="52" t="str">
        <f>HVAC!C24</f>
        <v>Change order 1</v>
      </c>
      <c r="D110" s="57">
        <f>HVAC!D24</f>
        <v>0</v>
      </c>
      <c r="E110" s="57">
        <f>HVAC!E24</f>
        <v>0</v>
      </c>
      <c r="F110" s="57">
        <f>HVAC!F24</f>
        <v>0</v>
      </c>
      <c r="G110" s="57">
        <f>HVAC!G24</f>
        <v>0</v>
      </c>
      <c r="H110" s="22">
        <f>HVAC!H24</f>
        <v>0</v>
      </c>
      <c r="I110" s="22">
        <f>HVAC!I24</f>
        <v>0</v>
      </c>
      <c r="J110" s="62" t="str">
        <f>IF(F:F&gt;0,F:F-E:E,"-")</f>
        <v>-</v>
      </c>
      <c r="K110" s="59">
        <f>IFERROR(F:F/E:E,0)</f>
        <v>0</v>
      </c>
      <c r="L110" s="49">
        <f>I:I-H:H</f>
        <v>0</v>
      </c>
      <c r="M110" s="48">
        <f>IFERROR(1-(I:I/H:H),0)</f>
        <v>0</v>
      </c>
    </row>
    <row r="111" spans="1:13" x14ac:dyDescent="0.15">
      <c r="B111" s="52" t="str">
        <f>HVAC!B25</f>
        <v>TBD</v>
      </c>
      <c r="C111" s="52" t="str">
        <f>HVAC!C25</f>
        <v>Change order 2</v>
      </c>
      <c r="D111" s="57">
        <f>HVAC!D25</f>
        <v>0</v>
      </c>
      <c r="E111" s="57">
        <f>HVAC!E25</f>
        <v>0</v>
      </c>
      <c r="F111" s="57">
        <f>HVAC!F25</f>
        <v>0</v>
      </c>
      <c r="G111" s="57">
        <f>HVAC!G25</f>
        <v>0</v>
      </c>
      <c r="H111" s="22">
        <f>HVAC!H25</f>
        <v>0</v>
      </c>
      <c r="I111" s="22">
        <f>HVAC!I25</f>
        <v>0</v>
      </c>
      <c r="J111" s="62" t="str">
        <f>IF(F:F&gt;0,F:F-E:E,"-")</f>
        <v>-</v>
      </c>
      <c r="K111" s="59">
        <f>IFERROR(F:F/E:E,0)</f>
        <v>0</v>
      </c>
      <c r="L111" s="49">
        <f>I:I-H:H</f>
        <v>0</v>
      </c>
      <c r="M111" s="48">
        <f>IFERROR(1-(I:I/H:H),0)</f>
        <v>0</v>
      </c>
    </row>
    <row r="112" spans="1:13" x14ac:dyDescent="0.15">
      <c r="B112" s="52" t="str">
        <f>HVAC!B26</f>
        <v>TBD</v>
      </c>
      <c r="C112" s="52" t="str">
        <f>HVAC!C26</f>
        <v>Change order 3</v>
      </c>
      <c r="D112" s="57">
        <f>HVAC!D26</f>
        <v>0</v>
      </c>
      <c r="E112" s="57">
        <f>HVAC!E26</f>
        <v>0</v>
      </c>
      <c r="F112" s="57">
        <f>HVAC!F26</f>
        <v>0</v>
      </c>
      <c r="G112" s="57">
        <f>HVAC!G26</f>
        <v>0</v>
      </c>
      <c r="H112" s="22">
        <f>HVAC!H26</f>
        <v>0</v>
      </c>
      <c r="I112" s="22">
        <f>HVAC!I26</f>
        <v>0</v>
      </c>
      <c r="J112" s="62" t="str">
        <f>IF(F:F&gt;0,F:F-E:E,"-")</f>
        <v>-</v>
      </c>
      <c r="K112" s="59">
        <f>IFERROR(F:F/E:E,0)</f>
        <v>0</v>
      </c>
      <c r="L112" s="49">
        <f>I:I-H:H</f>
        <v>0</v>
      </c>
      <c r="M112" s="48">
        <f>IFERROR(1-(I:I/H:H),0)</f>
        <v>0</v>
      </c>
    </row>
    <row r="113" spans="1:13" x14ac:dyDescent="0.15">
      <c r="L113" s="49"/>
      <c r="M113" s="48"/>
    </row>
    <row r="114" spans="1:13" ht="14" x14ac:dyDescent="0.15">
      <c r="A114" s="47" t="s">
        <v>244</v>
      </c>
      <c r="L114" s="49"/>
      <c r="M114" s="48"/>
    </row>
    <row r="115" spans="1:13" ht="26" x14ac:dyDescent="0.15">
      <c r="A115" s="23" t="str">
        <f>'Walls &amp; Ceilings'!A12</f>
        <v>Dry wall</v>
      </c>
      <c r="B115" s="34" t="str">
        <f>'Walls &amp; Ceilings'!B12</f>
        <v>Out for Bid</v>
      </c>
      <c r="C115" s="34" t="str">
        <f>'Walls &amp; Ceilings'!C12</f>
        <v>Install or repair and tape/float drywall in the following areas</v>
      </c>
      <c r="D115" s="21">
        <f>'Walls &amp; Ceilings'!D12</f>
        <v>0</v>
      </c>
      <c r="E115" s="21">
        <f>'Walls &amp; Ceilings'!E12</f>
        <v>8</v>
      </c>
      <c r="F115" s="21">
        <f>'Walls &amp; Ceilings'!F12</f>
        <v>0</v>
      </c>
      <c r="G115" s="21">
        <f>'Walls &amp; Ceilings'!G12</f>
        <v>0</v>
      </c>
      <c r="H115" s="22">
        <f>'Walls &amp; Ceilings'!H12</f>
        <v>1675</v>
      </c>
      <c r="I115" s="22">
        <f>'Walls &amp; Ceilings'!I12</f>
        <v>0</v>
      </c>
      <c r="J115" s="62" t="str">
        <f>IF(F:F&gt;0,F:F-E:E,"-")</f>
        <v>-</v>
      </c>
      <c r="K115" s="59">
        <f>IFERROR(F:F/E:E,0)</f>
        <v>0</v>
      </c>
      <c r="L115" s="49">
        <f>I:I-H:H</f>
        <v>-1675</v>
      </c>
      <c r="M115" s="48">
        <f>IFERROR(1-(I:I/H:H),0)</f>
        <v>1</v>
      </c>
    </row>
    <row r="116" spans="1:13" ht="26" x14ac:dyDescent="0.15">
      <c r="A116" s="23" t="str">
        <f>'Walls &amp; Ceilings'!A30</f>
        <v>Trim</v>
      </c>
      <c r="B116" s="53" t="str">
        <f>'Walls &amp; Ceilings'!B30</f>
        <v>Out for Bid</v>
      </c>
      <c r="C116" s="53" t="str">
        <f>'Walls &amp; Ceilings'!C30</f>
        <v>Install Shoe and Crowne moldings (Living room and Master only)</v>
      </c>
      <c r="D116" s="21">
        <f>'Walls &amp; Ceilings'!D30</f>
        <v>9</v>
      </c>
      <c r="E116" s="21">
        <f>'Walls &amp; Ceilings'!E30</f>
        <v>20.25</v>
      </c>
      <c r="F116" s="21">
        <f>'Walls &amp; Ceilings'!F30</f>
        <v>0</v>
      </c>
      <c r="G116" s="21">
        <f>'Walls &amp; Ceilings'!G30</f>
        <v>0</v>
      </c>
      <c r="H116" s="22">
        <f>'Walls &amp; Ceilings'!H30</f>
        <v>550</v>
      </c>
      <c r="I116" s="22">
        <f>'Walls &amp; Ceilings'!I30</f>
        <v>0</v>
      </c>
      <c r="J116" s="62" t="str">
        <f>IF(F:F&gt;0,F:F-E:E,"-")</f>
        <v>-</v>
      </c>
      <c r="K116" s="59">
        <f>IFERROR(F:F/E:E,0)</f>
        <v>0</v>
      </c>
      <c r="L116" s="49">
        <f>I:I-H:H</f>
        <v>-550</v>
      </c>
      <c r="M116" s="48">
        <f>IFERROR(1-(I:I/H:H),0)</f>
        <v>1</v>
      </c>
    </row>
    <row r="117" spans="1:13" x14ac:dyDescent="0.15">
      <c r="B117" s="53"/>
      <c r="C117" s="27" t="str">
        <f>'Walls &amp; Ceilings'!C44</f>
        <v>Bedroom 5</v>
      </c>
      <c r="D117" s="21">
        <f>'Walls &amp; Ceilings'!D44</f>
        <v>19.5</v>
      </c>
      <c r="E117" s="21">
        <f>'Walls &amp; Ceilings'!E44</f>
        <v>19.5</v>
      </c>
      <c r="F117" s="21">
        <f>'Walls &amp; Ceilings'!F44</f>
        <v>0</v>
      </c>
      <c r="G117" s="21">
        <f>'Walls &amp; Ceilings'!G44</f>
        <v>0</v>
      </c>
      <c r="H117" s="22">
        <f>'Walls &amp; Ceilings'!H44</f>
        <v>0</v>
      </c>
      <c r="I117" s="22">
        <f>'Walls &amp; Ceilings'!I44</f>
        <v>0</v>
      </c>
      <c r="J117" s="62" t="str">
        <f>IF(F:F&gt;0,F:F-E:E,"-")</f>
        <v>-</v>
      </c>
      <c r="K117" s="59">
        <f>IFERROR(F:F/E:E,0)</f>
        <v>0</v>
      </c>
      <c r="L117" s="49">
        <f>I:I-H:H</f>
        <v>0</v>
      </c>
      <c r="M117" s="48">
        <f>IFERROR(1-(I:I/H:H),0)</f>
        <v>0</v>
      </c>
    </row>
    <row r="118" spans="1:13" x14ac:dyDescent="0.15">
      <c r="A118" s="23" t="str">
        <f>'Walls &amp; Ceilings'!A50</f>
        <v>Contingency</v>
      </c>
      <c r="B118" s="72" t="str">
        <f>'Walls &amp; Ceilings'!B50</f>
        <v xml:space="preserve"> </v>
      </c>
      <c r="C118" s="72" t="str">
        <f>'Walls &amp; Ceilings'!C50</f>
        <v xml:space="preserve"> </v>
      </c>
      <c r="D118" s="21">
        <f>'Walls &amp; Ceilings'!D50</f>
        <v>0</v>
      </c>
      <c r="E118" s="21">
        <f>'Walls &amp; Ceilings'!E50</f>
        <v>0</v>
      </c>
      <c r="F118" s="21">
        <f>'Walls &amp; Ceilings'!F50</f>
        <v>0</v>
      </c>
      <c r="G118" s="21">
        <f>'Walls &amp; Ceilings'!G50</f>
        <v>0</v>
      </c>
      <c r="H118" s="22">
        <f>'Walls &amp; Ceilings'!H50</f>
        <v>300</v>
      </c>
      <c r="I118" s="22">
        <f>'Walls &amp; Ceilings'!I50</f>
        <v>0</v>
      </c>
      <c r="J118" s="62" t="str">
        <f>IF(F:F&gt;0,F:F-E:E,"-")</f>
        <v>-</v>
      </c>
      <c r="K118" s="59">
        <f>IFERROR(F:F/E:E,0)</f>
        <v>0</v>
      </c>
      <c r="L118" s="49">
        <f>I:I-H:H</f>
        <v>-300</v>
      </c>
      <c r="M118" s="48">
        <f>IFERROR(1-(I:I/H:H),0)</f>
        <v>1</v>
      </c>
    </row>
    <row r="119" spans="1:13" x14ac:dyDescent="0.15">
      <c r="A119" s="23" t="str">
        <f>'Walls &amp; Ceilings'!A51</f>
        <v>Changes</v>
      </c>
      <c r="B119" s="53" t="str">
        <f>'Walls &amp; Ceilings'!B51</f>
        <v>TBD</v>
      </c>
      <c r="C119" s="53" t="str">
        <f>'Walls &amp; Ceilings'!C51</f>
        <v>Change order 1</v>
      </c>
      <c r="D119" s="21">
        <f>'Walls &amp; Ceilings'!D51</f>
        <v>0</v>
      </c>
      <c r="E119" s="21">
        <f>'Walls &amp; Ceilings'!E51</f>
        <v>0</v>
      </c>
      <c r="F119" s="21">
        <f>'Walls &amp; Ceilings'!F51</f>
        <v>0</v>
      </c>
      <c r="G119" s="21">
        <f>'Walls &amp; Ceilings'!G51</f>
        <v>0</v>
      </c>
      <c r="H119" s="22">
        <f>'Walls &amp; Ceilings'!H51</f>
        <v>0</v>
      </c>
      <c r="I119" s="22">
        <f>'Walls &amp; Ceilings'!I51</f>
        <v>0</v>
      </c>
      <c r="J119" s="62" t="str">
        <f>IF(F:F&gt;0,F:F-E:E,"-")</f>
        <v>-</v>
      </c>
      <c r="K119" s="59">
        <f>IFERROR(F:F/E:E,0)</f>
        <v>0</v>
      </c>
      <c r="L119" s="49">
        <f>I:I-H:H</f>
        <v>0</v>
      </c>
      <c r="M119" s="48">
        <f>IFERROR(1-(I:I/H:H),0)</f>
        <v>0</v>
      </c>
    </row>
    <row r="120" spans="1:13" x14ac:dyDescent="0.15">
      <c r="B120" s="53" t="str">
        <f>'Walls &amp; Ceilings'!B52</f>
        <v>TBD</v>
      </c>
      <c r="C120" s="53" t="str">
        <f>'Walls &amp; Ceilings'!C52</f>
        <v>Change order 2</v>
      </c>
      <c r="D120" s="21">
        <f>'Walls &amp; Ceilings'!D52</f>
        <v>0</v>
      </c>
      <c r="E120" s="21">
        <f>'Walls &amp; Ceilings'!E52</f>
        <v>0</v>
      </c>
      <c r="F120" s="21">
        <f>'Walls &amp; Ceilings'!F52</f>
        <v>0</v>
      </c>
      <c r="G120" s="21">
        <f>'Walls &amp; Ceilings'!G52</f>
        <v>0</v>
      </c>
      <c r="H120" s="22">
        <f>'Walls &amp; Ceilings'!H52</f>
        <v>0</v>
      </c>
      <c r="I120" s="22">
        <f>'Walls &amp; Ceilings'!I52</f>
        <v>0</v>
      </c>
      <c r="J120" s="62" t="str">
        <f>IF(F:F&gt;0,F:F-E:E,"-")</f>
        <v>-</v>
      </c>
      <c r="K120" s="59">
        <f>IFERROR(F:F/E:E,0)</f>
        <v>0</v>
      </c>
      <c r="L120" s="49">
        <f>I:I-H:H</f>
        <v>0</v>
      </c>
      <c r="M120" s="48">
        <f>IFERROR(1-(I:I/H:H),0)</f>
        <v>0</v>
      </c>
    </row>
    <row r="121" spans="1:13" x14ac:dyDescent="0.15">
      <c r="B121" s="53" t="str">
        <f>'Walls &amp; Ceilings'!B53</f>
        <v>TBD</v>
      </c>
      <c r="C121" s="53" t="str">
        <f>'Walls &amp; Ceilings'!C53</f>
        <v>Change order 3</v>
      </c>
      <c r="D121" s="21">
        <f>'Walls &amp; Ceilings'!D53</f>
        <v>0</v>
      </c>
      <c r="E121" s="21">
        <f>'Walls &amp; Ceilings'!E53</f>
        <v>0</v>
      </c>
      <c r="F121" s="21">
        <f>'Walls &amp; Ceilings'!F53</f>
        <v>0</v>
      </c>
      <c r="G121" s="21">
        <f>'Walls &amp; Ceilings'!G53</f>
        <v>0</v>
      </c>
      <c r="H121" s="22">
        <f>'Walls &amp; Ceilings'!H53</f>
        <v>0</v>
      </c>
      <c r="I121" s="22">
        <f>'Walls &amp; Ceilings'!I53</f>
        <v>0</v>
      </c>
      <c r="J121" s="62" t="str">
        <f>IF(F:F&gt;0,F:F-E:E,"-")</f>
        <v>-</v>
      </c>
      <c r="K121" s="59">
        <f>IFERROR(F:F/E:E,0)</f>
        <v>0</v>
      </c>
      <c r="L121" s="49">
        <f>I:I-H:H</f>
        <v>0</v>
      </c>
      <c r="M121" s="48">
        <f>IFERROR(1-(I:I/H:H),0)</f>
        <v>0</v>
      </c>
    </row>
    <row r="122" spans="1:13" x14ac:dyDescent="0.15">
      <c r="B122" s="53"/>
      <c r="C122" s="53"/>
      <c r="L122" s="49"/>
      <c r="M122" s="48"/>
    </row>
    <row r="123" spans="1:13" x14ac:dyDescent="0.15">
      <c r="A123" s="68" t="s">
        <v>105</v>
      </c>
      <c r="B123" s="53"/>
      <c r="C123" s="53"/>
      <c r="L123" s="49"/>
      <c r="M123" s="48"/>
    </row>
    <row r="124" spans="1:13" ht="26" x14ac:dyDescent="0.15">
      <c r="A124" s="23" t="str">
        <f>Paint!A12</f>
        <v>Interior</v>
      </c>
      <c r="B124" s="53" t="str">
        <f>Paint!B12</f>
        <v>Out for Bid</v>
      </c>
      <c r="C124" s="53" t="str">
        <f>Paint!C12</f>
        <v>Paint each room the color(s) specified for wall/trim/ accent. Paint ceilings white unless otherwise specified</v>
      </c>
      <c r="D124" s="21">
        <f>Paint!D12</f>
        <v>0</v>
      </c>
      <c r="E124" s="21">
        <f>Paint!E12</f>
        <v>7.5</v>
      </c>
      <c r="F124" s="21">
        <f>Paint!F12</f>
        <v>0</v>
      </c>
      <c r="G124" s="21">
        <f>Paint!G12</f>
        <v>0</v>
      </c>
      <c r="H124" s="22">
        <f>Paint!H12</f>
        <v>5180</v>
      </c>
      <c r="I124" s="22">
        <f>Paint!I12</f>
        <v>0</v>
      </c>
      <c r="J124" s="62" t="str">
        <f>IF(F:F&gt;0,F:F-E:E,"-")</f>
        <v>-</v>
      </c>
      <c r="K124" s="59">
        <f>IFERROR(F:F/E:E,0)</f>
        <v>0</v>
      </c>
      <c r="L124" s="49">
        <f>I:I-H:H</f>
        <v>-5180</v>
      </c>
      <c r="M124" s="48">
        <f>IFERROR(1-(I:I/H:H),0)</f>
        <v>1</v>
      </c>
    </row>
    <row r="125" spans="1:13" x14ac:dyDescent="0.15">
      <c r="A125" s="23" t="str">
        <f>Paint!A30</f>
        <v>Exterior</v>
      </c>
      <c r="B125" s="65" t="str">
        <f>Paint!B30</f>
        <v>Out for Bid</v>
      </c>
      <c r="C125" s="65" t="str">
        <f>Paint!C30</f>
        <v>See Building Exterior</v>
      </c>
      <c r="D125" s="21">
        <f>Paint!D30</f>
        <v>0</v>
      </c>
      <c r="E125" s="21">
        <f>Paint!E30</f>
        <v>0</v>
      </c>
      <c r="F125" s="21">
        <f>Paint!F30</f>
        <v>0</v>
      </c>
      <c r="G125" s="21">
        <f>Paint!G30</f>
        <v>0</v>
      </c>
      <c r="H125" s="22">
        <f>Paint!H30</f>
        <v>0</v>
      </c>
      <c r="I125" s="22">
        <f>Paint!I30</f>
        <v>0</v>
      </c>
      <c r="J125" s="62" t="str">
        <f>IF(F:F&gt;0,F:F-E:E,"-")</f>
        <v>-</v>
      </c>
      <c r="K125" s="59">
        <f>IFERROR(F:F/E:E,0)</f>
        <v>0</v>
      </c>
      <c r="L125" s="49">
        <f>I:I-H:H</f>
        <v>0</v>
      </c>
      <c r="M125" s="48">
        <f>IFERROR(1-(I:I/H:H),0)</f>
        <v>0</v>
      </c>
    </row>
    <row r="126" spans="1:13" x14ac:dyDescent="0.15">
      <c r="A126" s="23" t="str">
        <f>Paint!A32</f>
        <v>Touchup</v>
      </c>
      <c r="B126" s="65" t="str">
        <f>Paint!B32</f>
        <v>Out for bid</v>
      </c>
      <c r="C126" s="65" t="str">
        <f>Paint!C32</f>
        <v xml:space="preserve">Touch up all interior surfaces </v>
      </c>
      <c r="F126" s="21">
        <f>Paint!F32</f>
        <v>0</v>
      </c>
      <c r="G126" s="21">
        <f>Paint!G32</f>
        <v>0</v>
      </c>
      <c r="H126" s="22">
        <f>Paint!H32</f>
        <v>200</v>
      </c>
      <c r="I126" s="22">
        <f>Paint!I32</f>
        <v>0</v>
      </c>
      <c r="J126" s="62" t="str">
        <f>IF(F:F&gt;0,F:F-E:E,"-")</f>
        <v>-</v>
      </c>
      <c r="K126" s="59">
        <f>IFERROR(F:F/E:E,0)</f>
        <v>0</v>
      </c>
      <c r="L126" s="49">
        <f>I:I-H:H</f>
        <v>-200</v>
      </c>
      <c r="M126" s="48">
        <f>IFERROR(1-(I:I/H:H),0)</f>
        <v>1</v>
      </c>
    </row>
    <row r="127" spans="1:13" x14ac:dyDescent="0.15">
      <c r="A127" s="23" t="str">
        <f>Paint!A34</f>
        <v>Contingency</v>
      </c>
      <c r="B127" s="72" t="str">
        <f>Paint!B34</f>
        <v xml:space="preserve"> </v>
      </c>
      <c r="C127" s="72" t="str">
        <f>Paint!C34</f>
        <v xml:space="preserve"> </v>
      </c>
      <c r="D127" s="21">
        <f>Paint!D34</f>
        <v>0</v>
      </c>
      <c r="E127" s="21">
        <f>Paint!E34</f>
        <v>0</v>
      </c>
      <c r="F127" s="21">
        <f>Paint!F34</f>
        <v>0</v>
      </c>
      <c r="G127" s="21">
        <f>Paint!G34</f>
        <v>0</v>
      </c>
      <c r="H127" s="22">
        <f>Paint!H34</f>
        <v>528</v>
      </c>
      <c r="I127" s="22">
        <f>Paint!I34</f>
        <v>0</v>
      </c>
      <c r="J127" s="62" t="str">
        <f>IF(F:F&gt;0,F:F-E:E,"-")</f>
        <v>-</v>
      </c>
      <c r="K127" s="59">
        <f>IFERROR(F:F/E:E,0)</f>
        <v>0</v>
      </c>
      <c r="L127" s="49">
        <f>I:I-H:H</f>
        <v>-528</v>
      </c>
      <c r="M127" s="48">
        <f>IFERROR(1-(I:I/H:H),0)</f>
        <v>1</v>
      </c>
    </row>
    <row r="128" spans="1:13" x14ac:dyDescent="0.15">
      <c r="A128" s="23" t="str">
        <f>Paint!A35</f>
        <v>Changes</v>
      </c>
      <c r="B128" s="65" t="str">
        <f>Paint!B35</f>
        <v>TBD</v>
      </c>
      <c r="C128" s="65" t="str">
        <f>Paint!C35</f>
        <v>Change order 1</v>
      </c>
      <c r="D128" s="21">
        <f>Paint!D35</f>
        <v>0</v>
      </c>
      <c r="E128" s="21">
        <f>Paint!E35</f>
        <v>0</v>
      </c>
      <c r="F128" s="21">
        <f>Paint!F35</f>
        <v>0</v>
      </c>
      <c r="G128" s="21">
        <f>Paint!G35</f>
        <v>0</v>
      </c>
      <c r="H128" s="22">
        <f>Paint!H35</f>
        <v>0</v>
      </c>
      <c r="I128" s="22">
        <f>Paint!I35</f>
        <v>0</v>
      </c>
      <c r="J128" s="62" t="str">
        <f>IF(F:F&gt;0,F:F-E:E,"-")</f>
        <v>-</v>
      </c>
      <c r="K128" s="59">
        <f>IFERROR(F:F/E:E,0)</f>
        <v>0</v>
      </c>
      <c r="L128" s="49">
        <f>I:I-H:H</f>
        <v>0</v>
      </c>
      <c r="M128" s="48">
        <f>IFERROR(1-(I:I/H:H),0)</f>
        <v>0</v>
      </c>
    </row>
    <row r="129" spans="1:13" x14ac:dyDescent="0.15">
      <c r="B129" s="65" t="str">
        <f>Paint!B36</f>
        <v>TBD</v>
      </c>
      <c r="C129" s="65" t="str">
        <f>Paint!C36</f>
        <v>Change order 2</v>
      </c>
      <c r="D129" s="21">
        <f>Paint!D36</f>
        <v>0</v>
      </c>
      <c r="E129" s="21">
        <f>Paint!E36</f>
        <v>0</v>
      </c>
      <c r="F129" s="21">
        <f>Paint!F36</f>
        <v>0</v>
      </c>
      <c r="G129" s="21">
        <f>Paint!G36</f>
        <v>0</v>
      </c>
      <c r="H129" s="22">
        <f>Paint!H36</f>
        <v>0</v>
      </c>
      <c r="I129" s="22">
        <f>Paint!I36</f>
        <v>0</v>
      </c>
      <c r="J129" s="62" t="str">
        <f>IF(F:F&gt;0,F:F-E:E,"-")</f>
        <v>-</v>
      </c>
      <c r="K129" s="59">
        <f>IFERROR(F:F/E:E,0)</f>
        <v>0</v>
      </c>
      <c r="L129" s="49">
        <f>I:I-H:H</f>
        <v>0</v>
      </c>
      <c r="M129" s="48">
        <f>IFERROR(1-(I:I/H:H),0)</f>
        <v>0</v>
      </c>
    </row>
    <row r="130" spans="1:13" x14ac:dyDescent="0.15">
      <c r="B130" s="65" t="str">
        <f>Paint!B37</f>
        <v>TBD</v>
      </c>
      <c r="C130" s="65" t="str">
        <f>Paint!C37</f>
        <v>Change order 3</v>
      </c>
      <c r="D130" s="21">
        <f>Paint!D37</f>
        <v>0</v>
      </c>
      <c r="E130" s="21">
        <f>Paint!E37</f>
        <v>0</v>
      </c>
      <c r="F130" s="21">
        <f>Paint!F37</f>
        <v>0</v>
      </c>
      <c r="G130" s="21">
        <f>Paint!G37</f>
        <v>0</v>
      </c>
      <c r="H130" s="22">
        <f>Paint!H37</f>
        <v>0</v>
      </c>
      <c r="I130" s="22">
        <f>Paint!I37</f>
        <v>0</v>
      </c>
      <c r="J130" s="62" t="str">
        <f>IF(F:F&gt;0,F:F-E:E,"-")</f>
        <v>-</v>
      </c>
      <c r="K130" s="59">
        <f>IFERROR(F:F/E:E,0)</f>
        <v>0</v>
      </c>
      <c r="L130" s="49">
        <f>I:I-H:H</f>
        <v>0</v>
      </c>
      <c r="M130" s="48">
        <f>IFERROR(1-(I:I/H:H),0)</f>
        <v>0</v>
      </c>
    </row>
    <row r="131" spans="1:13" x14ac:dyDescent="0.15">
      <c r="B131" s="65"/>
      <c r="C131" s="65"/>
      <c r="L131" s="49"/>
      <c r="M131" s="48"/>
    </row>
    <row r="132" spans="1:13" x14ac:dyDescent="0.15">
      <c r="A132" s="68" t="s">
        <v>254</v>
      </c>
      <c r="B132" s="65"/>
      <c r="C132" s="65"/>
      <c r="L132" s="49"/>
      <c r="M132" s="48"/>
    </row>
    <row r="133" spans="1:13" x14ac:dyDescent="0.15">
      <c r="A133" s="23" t="str">
        <f>Flooring!A12</f>
        <v>Interior</v>
      </c>
      <c r="B133" s="65" t="str">
        <f>Flooring!B12</f>
        <v>Out for Bid</v>
      </c>
      <c r="C133" s="65" t="str">
        <f>Flooring!C12</f>
        <v>Install or repair flooring in each room</v>
      </c>
      <c r="D133" s="21">
        <f>Flooring!D12</f>
        <v>0</v>
      </c>
      <c r="E133" s="21">
        <f>Flooring!E12</f>
        <v>7.5</v>
      </c>
      <c r="F133" s="21">
        <f>Flooring!F12</f>
        <v>0</v>
      </c>
      <c r="G133" s="21">
        <f>Flooring!G12</f>
        <v>0</v>
      </c>
      <c r="H133" s="22">
        <f>Flooring!H12</f>
        <v>12134.880000000001</v>
      </c>
      <c r="I133" s="22">
        <f>Flooring!I12</f>
        <v>0</v>
      </c>
      <c r="J133" s="62" t="str">
        <f>IF(F:F&gt;0,F:F-E:E,"-")</f>
        <v>-</v>
      </c>
      <c r="K133" s="59">
        <f>IFERROR(F:F/E:E,0)</f>
        <v>0</v>
      </c>
      <c r="L133" s="49">
        <f>I:I-H:H</f>
        <v>-12134.880000000001</v>
      </c>
      <c r="M133" s="48">
        <f>IFERROR(1-(I:I/H:H),0)</f>
        <v>1</v>
      </c>
    </row>
    <row r="134" spans="1:13" x14ac:dyDescent="0.15">
      <c r="A134" s="23" t="str">
        <f>Flooring!A29</f>
        <v>Contingency</v>
      </c>
      <c r="B134" s="72" t="str">
        <f>Flooring!B29</f>
        <v xml:space="preserve"> </v>
      </c>
      <c r="C134" s="72" t="str">
        <f>Flooring!C29</f>
        <v xml:space="preserve"> </v>
      </c>
      <c r="D134" s="21">
        <f>Flooring!D29</f>
        <v>0</v>
      </c>
      <c r="E134" s="21">
        <f>Flooring!E29</f>
        <v>0</v>
      </c>
      <c r="F134" s="21">
        <f>Flooring!F29</f>
        <v>0</v>
      </c>
      <c r="G134" s="21">
        <f>Flooring!G29</f>
        <v>0</v>
      </c>
      <c r="H134" s="22">
        <f>Flooring!H29</f>
        <v>1213.4880000000001</v>
      </c>
      <c r="I134" s="22">
        <f>Flooring!I29</f>
        <v>0</v>
      </c>
      <c r="J134" s="62" t="str">
        <f>IF(F:F&gt;0,F:F-E:E,"-")</f>
        <v>-</v>
      </c>
      <c r="K134" s="59">
        <f>IFERROR(F:F/E:E,0)</f>
        <v>0</v>
      </c>
      <c r="L134" s="49">
        <f>I:I-H:H</f>
        <v>-1213.4880000000001</v>
      </c>
      <c r="M134" s="48">
        <f>IFERROR(1-(I:I/H:H),0)</f>
        <v>1</v>
      </c>
    </row>
    <row r="135" spans="1:13" x14ac:dyDescent="0.15">
      <c r="A135" s="23" t="str">
        <f>Flooring!A30</f>
        <v>Changes</v>
      </c>
      <c r="B135" s="67" t="str">
        <f>Flooring!B30</f>
        <v>TBD</v>
      </c>
      <c r="C135" s="67" t="str">
        <f>Flooring!C30</f>
        <v>Change order 1</v>
      </c>
      <c r="D135" s="21">
        <f>Flooring!D30</f>
        <v>0</v>
      </c>
      <c r="E135" s="21">
        <f>Flooring!E30</f>
        <v>0</v>
      </c>
      <c r="F135" s="21">
        <f>Flooring!F30</f>
        <v>0</v>
      </c>
      <c r="G135" s="21">
        <f>Flooring!G30</f>
        <v>0</v>
      </c>
      <c r="H135" s="22">
        <f>Flooring!H30</f>
        <v>0</v>
      </c>
      <c r="I135" s="22">
        <f>Flooring!I30</f>
        <v>0</v>
      </c>
      <c r="J135" s="62" t="str">
        <f>IF(F:F&gt;0,F:F-E:E,"-")</f>
        <v>-</v>
      </c>
      <c r="K135" s="59">
        <f>IFERROR(F:F/E:E,0)</f>
        <v>0</v>
      </c>
      <c r="L135" s="49">
        <f>I:I-H:H</f>
        <v>0</v>
      </c>
      <c r="M135" s="48">
        <f>IFERROR(1-(I:I/H:H),0)</f>
        <v>0</v>
      </c>
    </row>
    <row r="136" spans="1:13" x14ac:dyDescent="0.15">
      <c r="B136" s="67" t="str">
        <f>Flooring!B31</f>
        <v>TBD</v>
      </c>
      <c r="C136" s="67" t="str">
        <f>Flooring!C31</f>
        <v>Change order 2</v>
      </c>
      <c r="D136" s="21">
        <f>Flooring!D31</f>
        <v>0</v>
      </c>
      <c r="E136" s="21">
        <f>Flooring!E31</f>
        <v>0</v>
      </c>
      <c r="F136" s="21">
        <f>Flooring!F31</f>
        <v>0</v>
      </c>
      <c r="G136" s="21">
        <f>Flooring!G31</f>
        <v>0</v>
      </c>
      <c r="H136" s="22">
        <f>Flooring!H31</f>
        <v>0</v>
      </c>
      <c r="I136" s="22">
        <f>Flooring!I31</f>
        <v>0</v>
      </c>
      <c r="J136" s="62" t="str">
        <f>IF(F:F&gt;0,F:F-E:E,"-")</f>
        <v>-</v>
      </c>
      <c r="K136" s="59">
        <f>IFERROR(F:F/E:E,0)</f>
        <v>0</v>
      </c>
      <c r="L136" s="49">
        <f>I:I-H:H</f>
        <v>0</v>
      </c>
      <c r="M136" s="48">
        <f>IFERROR(1-(I:I/H:H),0)</f>
        <v>0</v>
      </c>
    </row>
    <row r="137" spans="1:13" x14ac:dyDescent="0.15">
      <c r="B137" s="67" t="str">
        <f>Flooring!B32</f>
        <v>TBD</v>
      </c>
      <c r="C137" s="67" t="str">
        <f>Flooring!C32</f>
        <v>Change order 3</v>
      </c>
      <c r="D137" s="21">
        <f>Flooring!D32</f>
        <v>0</v>
      </c>
      <c r="E137" s="21">
        <f>Flooring!E32</f>
        <v>0</v>
      </c>
      <c r="F137" s="21">
        <f>Flooring!F32</f>
        <v>0</v>
      </c>
      <c r="G137" s="21">
        <f>Flooring!G32</f>
        <v>0</v>
      </c>
      <c r="H137" s="22">
        <f>Flooring!H32</f>
        <v>0</v>
      </c>
      <c r="I137" s="22">
        <f>Flooring!I32</f>
        <v>0</v>
      </c>
      <c r="J137" s="62" t="str">
        <f>IF(F:F&gt;0,F:F-E:E,"-")</f>
        <v>-</v>
      </c>
      <c r="K137" s="59">
        <f>IFERROR(F:F/E:E,0)</f>
        <v>0</v>
      </c>
      <c r="L137" s="49">
        <f>I:I-H:H</f>
        <v>0</v>
      </c>
      <c r="M137" s="48">
        <f>IFERROR(1-(I:I/H:H),0)</f>
        <v>0</v>
      </c>
    </row>
    <row r="138" spans="1:13" x14ac:dyDescent="0.15">
      <c r="B138" s="67"/>
      <c r="C138" s="67"/>
      <c r="L138" s="49"/>
      <c r="M138" s="48"/>
    </row>
    <row r="139" spans="1:13" x14ac:dyDescent="0.15">
      <c r="A139" s="68" t="s">
        <v>227</v>
      </c>
      <c r="B139" s="67"/>
      <c r="C139" s="67"/>
      <c r="L139" s="49"/>
      <c r="M139" s="48"/>
    </row>
    <row r="140" spans="1:13" x14ac:dyDescent="0.15">
      <c r="A140" s="23" t="str">
        <f>Kitchen!A12</f>
        <v>Cabinets</v>
      </c>
      <c r="B140" s="67" t="str">
        <f>Kitchen!B12</f>
        <v>Out for Bid</v>
      </c>
      <c r="C140" s="67" t="str">
        <f>Kitchen!C12</f>
        <v>Paint kitchen cabinets and doors</v>
      </c>
      <c r="D140" s="21">
        <f>Kitchen!D12</f>
        <v>0</v>
      </c>
      <c r="E140" s="21">
        <f>Kitchen!E12</f>
        <v>6</v>
      </c>
      <c r="F140" s="21">
        <f>Kitchen!F12</f>
        <v>0</v>
      </c>
      <c r="G140" s="21">
        <f>Kitchen!G12</f>
        <v>0</v>
      </c>
      <c r="H140" s="22">
        <f>Kitchen!H12</f>
        <v>2000</v>
      </c>
      <c r="I140" s="22">
        <f>Kitchen!I12</f>
        <v>0</v>
      </c>
      <c r="J140" s="62" t="str">
        <f>IF(F:F&gt;0,F:F-E:E,"-")</f>
        <v>-</v>
      </c>
      <c r="K140" s="59">
        <f>IFERROR(F:F/E:E,0)</f>
        <v>0</v>
      </c>
      <c r="L140" s="49">
        <f>I:I-H:H</f>
        <v>-2000</v>
      </c>
      <c r="M140" s="48">
        <f>IFERROR(1-(I:I/H:H),0)</f>
        <v>1</v>
      </c>
    </row>
    <row r="141" spans="1:13" x14ac:dyDescent="0.15">
      <c r="A141" s="23" t="str">
        <f>Kitchen!A15</f>
        <v>Backsplashes</v>
      </c>
      <c r="B141" s="67" t="str">
        <f>Kitchen!B15</f>
        <v>Out for Bid</v>
      </c>
      <c r="C141" s="67" t="str">
        <f>Kitchen!C15</f>
        <v>Install backsplashes with decorative element.</v>
      </c>
      <c r="D141" s="21">
        <f>Kitchen!D15</f>
        <v>0.5</v>
      </c>
      <c r="E141" s="21">
        <f>Kitchen!E15</f>
        <v>0.5</v>
      </c>
      <c r="F141" s="21">
        <f>Kitchen!F15</f>
        <v>0</v>
      </c>
      <c r="G141" s="21">
        <f>Kitchen!G15</f>
        <v>0</v>
      </c>
      <c r="H141" s="22" t="str">
        <f>Kitchen!H15</f>
        <v>TBD</v>
      </c>
      <c r="I141" s="22">
        <f>Kitchen!I15</f>
        <v>0</v>
      </c>
      <c r="J141" s="62" t="str">
        <f>IF(F:F&gt;0,F:F-E:E,"-")</f>
        <v>-</v>
      </c>
      <c r="K141" s="59">
        <f>IFERROR(F:F/E:E,0)</f>
        <v>0</v>
      </c>
      <c r="L141" s="49">
        <f>IFERROR(I:I-H:H,0)</f>
        <v>0</v>
      </c>
      <c r="M141" s="48">
        <f>IFERROR(1-(I:I/H:H),0)</f>
        <v>0</v>
      </c>
    </row>
    <row r="142" spans="1:13" x14ac:dyDescent="0.15">
      <c r="A142" s="23" t="str">
        <f>Kitchen!A16</f>
        <v>Countertops</v>
      </c>
      <c r="B142" s="73" t="str">
        <f>Kitchen!B16</f>
        <v>Out for Bid</v>
      </c>
      <c r="C142" s="73" t="str">
        <f>Kitchen!C16</f>
        <v>Install countertops</v>
      </c>
      <c r="D142" s="21">
        <f>Kitchen!D16</f>
        <v>0.5</v>
      </c>
      <c r="E142" s="21">
        <f>Kitchen!E16</f>
        <v>0.5</v>
      </c>
      <c r="F142" s="21">
        <f>Kitchen!F16</f>
        <v>0</v>
      </c>
      <c r="G142" s="21">
        <f>Kitchen!G16</f>
        <v>0</v>
      </c>
      <c r="H142" s="22" t="str">
        <f>Kitchen!H16</f>
        <v>TBD</v>
      </c>
      <c r="I142" s="22">
        <f>Kitchen!I16</f>
        <v>0</v>
      </c>
      <c r="J142" s="62" t="str">
        <f>IF(F:F&gt;0,F:F-E:E,"-")</f>
        <v>-</v>
      </c>
      <c r="K142" s="59">
        <f>IFERROR(F:F/E:E,0)</f>
        <v>0</v>
      </c>
      <c r="L142" s="49">
        <f>IFERROR(I:I-H:H,0)</f>
        <v>0</v>
      </c>
      <c r="M142" s="48">
        <f>IFERROR(1-(I:I/H:H),0)</f>
        <v>0</v>
      </c>
    </row>
    <row r="143" spans="1:13" ht="26" x14ac:dyDescent="0.15">
      <c r="A143" s="23" t="str">
        <f>Kitchen!A17</f>
        <v>Sinks</v>
      </c>
      <c r="B143" s="67" t="str">
        <f>Kitchen!B17</f>
        <v>Out for Bid</v>
      </c>
      <c r="C143" s="67" t="str">
        <f>Kitchen!C17</f>
        <v>Install and test sinks, including faucets, water supply, drains, and garbage disposal.</v>
      </c>
      <c r="D143" s="21">
        <f>Kitchen!D17</f>
        <v>1</v>
      </c>
      <c r="E143" s="21">
        <f>Kitchen!E17</f>
        <v>1</v>
      </c>
      <c r="F143" s="21">
        <f>Kitchen!F17</f>
        <v>0</v>
      </c>
      <c r="G143" s="21">
        <f>Kitchen!G17</f>
        <v>0</v>
      </c>
      <c r="H143" s="22">
        <f>Kitchen!H17</f>
        <v>0</v>
      </c>
      <c r="I143" s="22">
        <f>Kitchen!I17</f>
        <v>0</v>
      </c>
      <c r="J143" s="62" t="str">
        <f>IF(F:F&gt;0,F:F-E:E,"-")</f>
        <v>-</v>
      </c>
      <c r="K143" s="59">
        <f>IFERROR(F:F/E:E,0)</f>
        <v>0</v>
      </c>
      <c r="L143" s="49">
        <f>I:I-H:H</f>
        <v>0</v>
      </c>
      <c r="M143" s="48">
        <f>IFERROR(1-(I:I/H:H),0)</f>
        <v>0</v>
      </c>
    </row>
    <row r="144" spans="1:13" x14ac:dyDescent="0.15">
      <c r="A144" s="23" t="str">
        <f>Kitchen!A20</f>
        <v>Appliances</v>
      </c>
      <c r="B144" s="67" t="str">
        <f>Kitchen!B20</f>
        <v>Out for Bid</v>
      </c>
      <c r="C144" s="67" t="str">
        <f>Kitchen!C20</f>
        <v>Install and test all appliances. $3000 appliane allowance</v>
      </c>
      <c r="D144" s="21">
        <f>Kitchen!D20</f>
        <v>2.5</v>
      </c>
      <c r="E144" s="21">
        <f>Kitchen!E20</f>
        <v>2.5</v>
      </c>
      <c r="F144" s="21">
        <f>Kitchen!F20</f>
        <v>0</v>
      </c>
      <c r="G144" s="21">
        <f>Kitchen!G20</f>
        <v>0</v>
      </c>
      <c r="H144" s="22">
        <f>Kitchen!H20</f>
        <v>3700</v>
      </c>
      <c r="I144" s="22">
        <f>Kitchen!I20</f>
        <v>0</v>
      </c>
      <c r="J144" s="62" t="str">
        <f>IF(F:F&gt;0,F:F-E:E,"-")</f>
        <v>-</v>
      </c>
      <c r="K144" s="59">
        <f>IFERROR(F:F/E:E,0)</f>
        <v>0</v>
      </c>
      <c r="L144" s="49">
        <f>I:I-H:H</f>
        <v>-3700</v>
      </c>
      <c r="M144" s="48">
        <f>IFERROR(1-(I:I/H:H),0)</f>
        <v>1</v>
      </c>
    </row>
    <row r="145" spans="1:13" x14ac:dyDescent="0.15">
      <c r="A145" s="23" t="str">
        <f>Kitchen!A28</f>
        <v>Contingency</v>
      </c>
      <c r="B145" s="73" t="str">
        <f>Kitchen!B28</f>
        <v xml:space="preserve"> </v>
      </c>
      <c r="C145" s="73" t="str">
        <f>Kitchen!C28</f>
        <v xml:space="preserve"> </v>
      </c>
      <c r="D145" s="21">
        <f>Kitchen!D28</f>
        <v>0</v>
      </c>
      <c r="E145" s="21">
        <f>Kitchen!E28</f>
        <v>0</v>
      </c>
      <c r="F145" s="21">
        <f>Kitchen!F28</f>
        <v>0</v>
      </c>
      <c r="G145" s="21">
        <f>Kitchen!G28</f>
        <v>0</v>
      </c>
      <c r="H145" s="22">
        <f>Kitchen!H28</f>
        <v>435</v>
      </c>
      <c r="I145" s="22">
        <f>Kitchen!I28</f>
        <v>0</v>
      </c>
      <c r="J145" s="62" t="str">
        <f>IF(F:F&gt;0,F:F-E:E,"-")</f>
        <v>-</v>
      </c>
      <c r="K145" s="59">
        <f>IFERROR(F:F/E:E,0)</f>
        <v>0</v>
      </c>
      <c r="L145" s="49">
        <f>I:I-H:H</f>
        <v>-435</v>
      </c>
      <c r="M145" s="48">
        <f>IFERROR(1-(I:I/H:H),0)</f>
        <v>1</v>
      </c>
    </row>
    <row r="146" spans="1:13" x14ac:dyDescent="0.15">
      <c r="A146" s="23" t="str">
        <f>Kitchen!A29</f>
        <v>Changes</v>
      </c>
      <c r="B146" s="67" t="str">
        <f>Kitchen!B29</f>
        <v>TBD</v>
      </c>
      <c r="C146" s="67" t="str">
        <f>Kitchen!C29</f>
        <v>Change order 1</v>
      </c>
      <c r="D146" s="21">
        <f>Kitchen!D29</f>
        <v>0</v>
      </c>
      <c r="E146" s="21">
        <f>Kitchen!E29</f>
        <v>0</v>
      </c>
      <c r="F146" s="21">
        <f>Kitchen!F29</f>
        <v>0</v>
      </c>
      <c r="G146" s="21">
        <f>Kitchen!G29</f>
        <v>0</v>
      </c>
      <c r="H146" s="22">
        <f>Kitchen!H29</f>
        <v>0</v>
      </c>
      <c r="I146" s="22">
        <f>Kitchen!I29</f>
        <v>0</v>
      </c>
      <c r="J146" s="62" t="str">
        <f>IF(F:F&gt;0,F:F-E:E,"-")</f>
        <v>-</v>
      </c>
      <c r="K146" s="59">
        <f>IFERROR(F:F/E:E,0)</f>
        <v>0</v>
      </c>
      <c r="L146" s="49">
        <f>I:I-H:H</f>
        <v>0</v>
      </c>
      <c r="M146" s="48">
        <f>IFERROR(1-(I:I/H:H),0)</f>
        <v>0</v>
      </c>
    </row>
    <row r="147" spans="1:13" x14ac:dyDescent="0.15">
      <c r="B147" s="67" t="str">
        <f>Kitchen!B30</f>
        <v>TBD</v>
      </c>
      <c r="C147" s="67" t="str">
        <f>Kitchen!C30</f>
        <v>Change order 2</v>
      </c>
      <c r="D147" s="21">
        <f>Kitchen!D30</f>
        <v>0</v>
      </c>
      <c r="E147" s="21">
        <f>Kitchen!E30</f>
        <v>0</v>
      </c>
      <c r="F147" s="21">
        <f>Kitchen!F30</f>
        <v>0</v>
      </c>
      <c r="G147" s="21">
        <f>Kitchen!G30</f>
        <v>0</v>
      </c>
      <c r="H147" s="22">
        <f>Kitchen!H30</f>
        <v>0</v>
      </c>
      <c r="I147" s="22">
        <f>Kitchen!I30</f>
        <v>0</v>
      </c>
      <c r="J147" s="62" t="str">
        <f>IF(F:F&gt;0,F:F-E:E,"-")</f>
        <v>-</v>
      </c>
      <c r="K147" s="59">
        <f>IFERROR(F:F/E:E,0)</f>
        <v>0</v>
      </c>
      <c r="L147" s="49">
        <f>I:I-H:H</f>
        <v>0</v>
      </c>
      <c r="M147" s="48">
        <f>IFERROR(1-(I:I/H:H),0)</f>
        <v>0</v>
      </c>
    </row>
    <row r="148" spans="1:13" x14ac:dyDescent="0.15">
      <c r="B148" s="67" t="str">
        <f>Kitchen!B31</f>
        <v>TBD</v>
      </c>
      <c r="C148" s="67" t="str">
        <f>Kitchen!C31</f>
        <v>Change order 3</v>
      </c>
      <c r="D148" s="21">
        <f>Kitchen!D31</f>
        <v>0</v>
      </c>
      <c r="E148" s="21">
        <f>Kitchen!E31</f>
        <v>0</v>
      </c>
      <c r="F148" s="21">
        <f>Kitchen!F31</f>
        <v>0</v>
      </c>
      <c r="G148" s="21">
        <f>Kitchen!G31</f>
        <v>0</v>
      </c>
      <c r="H148" s="22">
        <f>Kitchen!H31</f>
        <v>0</v>
      </c>
      <c r="I148" s="22">
        <f>Kitchen!I31</f>
        <v>0</v>
      </c>
      <c r="J148" s="62" t="str">
        <f>IF(F:F&gt;0,F:F-E:E,"-")</f>
        <v>-</v>
      </c>
      <c r="K148" s="59">
        <f>IFERROR(F:F/E:E,0)</f>
        <v>0</v>
      </c>
      <c r="L148" s="49">
        <f>I:I-H:H</f>
        <v>0</v>
      </c>
      <c r="M148" s="48">
        <f>IFERROR(1-(I:I/H:H),0)</f>
        <v>0</v>
      </c>
    </row>
    <row r="149" spans="1:13" x14ac:dyDescent="0.15">
      <c r="B149" s="67"/>
      <c r="C149" s="67"/>
      <c r="L149" s="49"/>
      <c r="M149" s="48"/>
    </row>
    <row r="150" spans="1:13" x14ac:dyDescent="0.15">
      <c r="A150" s="68" t="s">
        <v>277</v>
      </c>
      <c r="B150" s="67"/>
      <c r="C150" s="67"/>
      <c r="L150" s="49"/>
      <c r="M150" s="48"/>
    </row>
    <row r="151" spans="1:13" x14ac:dyDescent="0.15">
      <c r="A151" s="23" t="str">
        <f>Baths!A12</f>
        <v>Master Bath</v>
      </c>
      <c r="B151" s="67">
        <f>Baths!B12</f>
        <v>0</v>
      </c>
      <c r="C151" s="67" t="str">
        <f>Baths!C12</f>
        <v>Make it nice.</v>
      </c>
      <c r="D151" s="21">
        <f>Baths!D12</f>
        <v>1</v>
      </c>
      <c r="E151" s="21">
        <f>Baths!E12</f>
        <v>2</v>
      </c>
      <c r="F151" s="21">
        <f>Baths!F12</f>
        <v>0</v>
      </c>
      <c r="G151" s="21">
        <f>Baths!G12</f>
        <v>0</v>
      </c>
      <c r="H151" s="22">
        <f>Baths!H12</f>
        <v>3457</v>
      </c>
      <c r="I151" s="22">
        <f>Baths!I12</f>
        <v>0</v>
      </c>
      <c r="J151" s="62" t="str">
        <f>IF(F:F&gt;0,F:F-E:E,"-")</f>
        <v>-</v>
      </c>
      <c r="K151" s="59">
        <f>IFERROR(F:F/E:E,0)</f>
        <v>0</v>
      </c>
      <c r="L151" s="49">
        <f>I:I-H:H</f>
        <v>-3457</v>
      </c>
      <c r="M151" s="48">
        <f>IFERROR(1-(I:I/H:H),0)</f>
        <v>1</v>
      </c>
    </row>
    <row r="152" spans="1:13" x14ac:dyDescent="0.15">
      <c r="A152" s="23" t="str">
        <f>Baths!A21</f>
        <v>Hall Bath</v>
      </c>
      <c r="B152" s="74">
        <f>Baths!B21</f>
        <v>0</v>
      </c>
      <c r="C152" s="74" t="str">
        <f>Baths!C21</f>
        <v>Make it nice</v>
      </c>
      <c r="D152" s="21">
        <f>Baths!D21</f>
        <v>2</v>
      </c>
      <c r="E152" s="21">
        <f>Baths!E21</f>
        <v>3</v>
      </c>
      <c r="F152" s="21">
        <f>Baths!F21</f>
        <v>0</v>
      </c>
      <c r="G152" s="21">
        <f>Baths!G21</f>
        <v>0</v>
      </c>
      <c r="H152" s="22">
        <f>Baths!H21</f>
        <v>1492</v>
      </c>
      <c r="I152" s="22">
        <f>Baths!I21</f>
        <v>0</v>
      </c>
      <c r="J152" s="62" t="str">
        <f>IF(F:F&gt;0,F:F-E:E,"-")</f>
        <v>-</v>
      </c>
      <c r="K152" s="59">
        <f>IFERROR(F:F/E:E,0)</f>
        <v>0</v>
      </c>
      <c r="L152" s="49">
        <f>I:I-H:H</f>
        <v>-1492</v>
      </c>
      <c r="M152" s="48">
        <f>IFERROR(1-(I:I/H:H),0)</f>
        <v>1</v>
      </c>
    </row>
    <row r="153" spans="1:13" x14ac:dyDescent="0.15">
      <c r="A153" s="23" t="str">
        <f>Baths!A30</f>
        <v>Second Master</v>
      </c>
      <c r="B153" s="74">
        <f>Baths!B30</f>
        <v>0</v>
      </c>
      <c r="C153" s="74" t="str">
        <f>Baths!C30</f>
        <v>make it nice</v>
      </c>
      <c r="D153" s="21">
        <f>Baths!D30</f>
        <v>3</v>
      </c>
      <c r="E153" s="21">
        <f>Baths!E30</f>
        <v>4</v>
      </c>
      <c r="F153" s="21">
        <f>Baths!F30</f>
        <v>0</v>
      </c>
      <c r="G153" s="21">
        <f>Baths!G30</f>
        <v>0</v>
      </c>
      <c r="H153" s="22">
        <f>Baths!H30</f>
        <v>1677</v>
      </c>
      <c r="I153" s="22">
        <f>Baths!I30</f>
        <v>0</v>
      </c>
      <c r="J153" s="62" t="str">
        <f>IF(F:F&gt;0,F:F-E:E,"-")</f>
        <v>-</v>
      </c>
      <c r="K153" s="59">
        <f>IFERROR(F:F/E:E,0)</f>
        <v>0</v>
      </c>
      <c r="L153" s="49">
        <f>I:I-H:H</f>
        <v>-1677</v>
      </c>
      <c r="M153" s="48">
        <f>IFERROR(1-(I:I/H:H),0)</f>
        <v>1</v>
      </c>
    </row>
    <row r="154" spans="1:13" x14ac:dyDescent="0.15">
      <c r="A154" s="23" t="str">
        <f>Baths!A38</f>
        <v>Laundry Bath</v>
      </c>
      <c r="B154" s="74">
        <f>Baths!B38</f>
        <v>0</v>
      </c>
      <c r="C154" s="74" t="str">
        <f>Baths!C38</f>
        <v>Make it nice</v>
      </c>
      <c r="D154" s="21">
        <f>Baths!D38</f>
        <v>0</v>
      </c>
      <c r="E154" s="21">
        <f>Baths!E38</f>
        <v>1</v>
      </c>
      <c r="F154" s="21">
        <f>Baths!F38</f>
        <v>0</v>
      </c>
      <c r="G154" s="21">
        <f>Baths!G38</f>
        <v>0</v>
      </c>
      <c r="H154" s="22">
        <f>Baths!H38</f>
        <v>1292</v>
      </c>
      <c r="I154" s="22">
        <f>Baths!I38</f>
        <v>0</v>
      </c>
      <c r="J154" s="62" t="str">
        <f>IF(F:F&gt;0,F:F-E:E,"-")</f>
        <v>-</v>
      </c>
      <c r="K154" s="59">
        <f>IFERROR(F:F/E:E,0)</f>
        <v>0</v>
      </c>
      <c r="L154" s="49">
        <f>I:I-H:H</f>
        <v>-1292</v>
      </c>
      <c r="M154" s="48">
        <f>IFERROR(1-(I:I/H:H),0)</f>
        <v>1</v>
      </c>
    </row>
    <row r="155" spans="1:13" x14ac:dyDescent="0.15">
      <c r="A155" s="23" t="str">
        <f>Baths!A46</f>
        <v>Contingency</v>
      </c>
      <c r="B155" s="74">
        <f>Baths!B46</f>
        <v>0</v>
      </c>
      <c r="C155" s="74" t="str">
        <f>Baths!C46</f>
        <v xml:space="preserve"> </v>
      </c>
      <c r="D155" s="21">
        <f>Baths!D46</f>
        <v>0</v>
      </c>
      <c r="E155" s="21">
        <f>Baths!E46</f>
        <v>0</v>
      </c>
      <c r="F155" s="21">
        <f>Baths!F46</f>
        <v>0</v>
      </c>
      <c r="G155" s="21">
        <f>Baths!G46</f>
        <v>0</v>
      </c>
      <c r="H155" s="22">
        <f>Baths!H46</f>
        <v>717.2</v>
      </c>
      <c r="I155" s="22">
        <f>Baths!I46</f>
        <v>0</v>
      </c>
      <c r="J155" s="62" t="str">
        <f>IF(F:F&gt;0,F:F-E:E,"-")</f>
        <v>-</v>
      </c>
      <c r="K155" s="59">
        <f>IFERROR(F:F/E:E,0)</f>
        <v>0</v>
      </c>
      <c r="L155" s="49">
        <f>I:I-H:H</f>
        <v>-717.2</v>
      </c>
      <c r="M155" s="48">
        <f>IFERROR(1-(I:I/H:H),0)</f>
        <v>1</v>
      </c>
    </row>
    <row r="156" spans="1:13" x14ac:dyDescent="0.15">
      <c r="A156" s="23" t="str">
        <f>Baths!A47</f>
        <v>Changes</v>
      </c>
      <c r="B156" s="74" t="str">
        <f>Baths!B47</f>
        <v>TBD</v>
      </c>
      <c r="C156" s="74" t="str">
        <f>Baths!C47</f>
        <v>Change order 1</v>
      </c>
      <c r="D156" s="21">
        <f>Baths!D47</f>
        <v>0</v>
      </c>
      <c r="E156" s="21">
        <f>Baths!E47</f>
        <v>0</v>
      </c>
      <c r="F156" s="21">
        <f>Baths!F47</f>
        <v>0</v>
      </c>
      <c r="G156" s="21">
        <f>Baths!G47</f>
        <v>0</v>
      </c>
      <c r="H156" s="22">
        <f>Baths!H47</f>
        <v>0</v>
      </c>
      <c r="I156" s="22">
        <f>Baths!I47</f>
        <v>0</v>
      </c>
      <c r="J156" s="62" t="str">
        <f>IF(F:F&gt;0,F:F-E:E,"-")</f>
        <v>-</v>
      </c>
      <c r="K156" s="59">
        <f>IFERROR(F:F/E:E,0)</f>
        <v>0</v>
      </c>
      <c r="L156" s="49">
        <f>I:I-H:H</f>
        <v>0</v>
      </c>
      <c r="M156" s="48">
        <f>IFERROR(1-(I:I/H:H),0)</f>
        <v>0</v>
      </c>
    </row>
    <row r="157" spans="1:13" x14ac:dyDescent="0.15">
      <c r="A157" s="23">
        <f>Baths!A48</f>
        <v>0</v>
      </c>
      <c r="B157" s="74" t="str">
        <f>Baths!B48</f>
        <v>TBD</v>
      </c>
      <c r="C157" s="74" t="str">
        <f>Baths!C48</f>
        <v>Change order 2</v>
      </c>
      <c r="D157" s="21">
        <f>Baths!D48</f>
        <v>0</v>
      </c>
      <c r="E157" s="21">
        <f>Baths!E48</f>
        <v>0</v>
      </c>
      <c r="F157" s="21">
        <f>Baths!F48</f>
        <v>0</v>
      </c>
      <c r="G157" s="21">
        <f>Baths!G48</f>
        <v>0</v>
      </c>
      <c r="H157" s="22">
        <f>Baths!H48</f>
        <v>0</v>
      </c>
      <c r="I157" s="22">
        <f>Baths!I48</f>
        <v>0</v>
      </c>
      <c r="J157" s="62" t="str">
        <f>IF(F:F&gt;0,F:F-E:E,"-")</f>
        <v>-</v>
      </c>
      <c r="K157" s="59">
        <f>IFERROR(F:F/E:E,0)</f>
        <v>0</v>
      </c>
      <c r="L157" s="49">
        <f>I:I-H:H</f>
        <v>0</v>
      </c>
      <c r="M157" s="48">
        <f>IFERROR(1-(I:I/H:H),0)</f>
        <v>0</v>
      </c>
    </row>
    <row r="158" spans="1:13" x14ac:dyDescent="0.15">
      <c r="A158" s="23">
        <f>Baths!A49</f>
        <v>0</v>
      </c>
      <c r="B158" s="74" t="str">
        <f>Baths!B49</f>
        <v>TBD</v>
      </c>
      <c r="C158" s="74" t="str">
        <f>Baths!C49</f>
        <v>Change order 3</v>
      </c>
      <c r="D158" s="21">
        <f>Baths!D49</f>
        <v>0</v>
      </c>
      <c r="E158" s="21">
        <f>Baths!E49</f>
        <v>0</v>
      </c>
      <c r="F158" s="21">
        <f>Baths!F49</f>
        <v>0</v>
      </c>
      <c r="G158" s="21">
        <f>Baths!G49</f>
        <v>0</v>
      </c>
      <c r="H158" s="22">
        <f>Baths!H49</f>
        <v>0</v>
      </c>
      <c r="I158" s="22">
        <f>Baths!I49</f>
        <v>0</v>
      </c>
      <c r="J158" s="62" t="str">
        <f>IF(F:F&gt;0,F:F-E:E,"-")</f>
        <v>-</v>
      </c>
      <c r="K158" s="59">
        <f>IFERROR(F:F/E:E,0)</f>
        <v>0</v>
      </c>
      <c r="L158" s="49">
        <f>I:I-H:H</f>
        <v>0</v>
      </c>
      <c r="M158" s="48">
        <f>IFERROR(1-(I:I/H:H),0)</f>
        <v>0</v>
      </c>
    </row>
  </sheetData>
  <mergeCells count="5">
    <mergeCell ref="A4:G7"/>
    <mergeCell ref="B17:B18"/>
    <mergeCell ref="B19:B20"/>
    <mergeCell ref="B21:B22"/>
    <mergeCell ref="B23:B24"/>
  </mergeCells>
  <phoneticPr fontId="4" type="noConversion"/>
  <conditionalFormatting sqref="D1:G3 D70:G90 D103:G108 D8:G33 D46:G60 D110:G117 D119:G126 D128:G133 D135:G141 D143:G144 D146:G1048576">
    <cfRule type="cellIs" dxfId="9" priority="17" operator="equal">
      <formula>0</formula>
    </cfRule>
  </conditionalFormatting>
  <conditionalFormatting sqref="D34:G45">
    <cfRule type="cellIs" dxfId="8" priority="16" operator="equal">
      <formula>0</formula>
    </cfRule>
  </conditionalFormatting>
  <conditionalFormatting sqref="D61:G65 D67:G69">
    <cfRule type="cellIs" dxfId="7" priority="15" operator="equal">
      <formula>0</formula>
    </cfRule>
  </conditionalFormatting>
  <conditionalFormatting sqref="D66:G66">
    <cfRule type="cellIs" dxfId="6" priority="9" operator="equal">
      <formula>0</formula>
    </cfRule>
  </conditionalFormatting>
  <conditionalFormatting sqref="D109:G109">
    <cfRule type="cellIs" dxfId="5" priority="8" operator="equal">
      <formula>0</formula>
    </cfRule>
  </conditionalFormatting>
  <conditionalFormatting sqref="D118:G118">
    <cfRule type="cellIs" dxfId="4" priority="7" operator="equal">
      <formula>0</formula>
    </cfRule>
  </conditionalFormatting>
  <conditionalFormatting sqref="D127:G127">
    <cfRule type="cellIs" dxfId="3" priority="6" operator="equal">
      <formula>0</formula>
    </cfRule>
  </conditionalFormatting>
  <conditionalFormatting sqref="D134:G134">
    <cfRule type="cellIs" dxfId="2" priority="5" operator="equal">
      <formula>0</formula>
    </cfRule>
  </conditionalFormatting>
  <conditionalFormatting sqref="D142:G142">
    <cfRule type="cellIs" dxfId="1" priority="4" operator="equal">
      <formula>0</formula>
    </cfRule>
  </conditionalFormatting>
  <conditionalFormatting sqref="D145:G145">
    <cfRule type="cellIs" dxfId="0" priority="3" operator="equal">
      <formula>0</formula>
    </cfRule>
  </conditionalFormatting>
  <pageMargins left="0.35" right="0.25" top="1" bottom="0.7" header="0.3" footer="0.3"/>
  <pageSetup scale="75" fitToHeight="10" pageOrder="overThenDown" orientation="landscape" useFirstPageNumber="1"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74"/>
  <sheetViews>
    <sheetView view="pageLayout" topLeftCell="A39" workbookViewId="0">
      <selection activeCell="C59" sqref="C59"/>
    </sheetView>
  </sheetViews>
  <sheetFormatPr baseColWidth="10" defaultColWidth="11.3984375" defaultRowHeight="13" x14ac:dyDescent="0.15"/>
  <cols>
    <col min="1" max="1" width="9.59765625" customWidth="1"/>
    <col min="2" max="2" width="9.59765625" style="28" customWidth="1"/>
    <col min="3" max="3" width="12.3984375" customWidth="1"/>
    <col min="4" max="4" width="12.3984375" bestFit="1" customWidth="1"/>
    <col min="10" max="10" width="8.59765625" customWidth="1"/>
  </cols>
  <sheetData>
    <row r="1" spans="1:10" ht="19" x14ac:dyDescent="0.2">
      <c r="A1" s="6" t="s">
        <v>8</v>
      </c>
    </row>
    <row r="2" spans="1:10" x14ac:dyDescent="0.15">
      <c r="A2" t="str">
        <f ca="1" xml:space="preserve"> "This project ("&amp;Project_Name&amp;") consists of redeveloping a "&amp;Project_Type&amp;" described as follows:"</f>
        <v>This project (Road Runner-2017) consists of redeveloping a Single-family house described as follows:</v>
      </c>
    </row>
    <row r="3" spans="1:10" x14ac:dyDescent="0.15">
      <c r="A3" s="7" t="str">
        <f>Street_Address</f>
        <v>2903 Road Runner</v>
      </c>
    </row>
    <row r="4" spans="1:10" x14ac:dyDescent="0.15">
      <c r="A4" s="7" t="str">
        <f>City&amp;", "&amp;County&amp;", "&amp;State&amp;" "&amp;Zip</f>
        <v>College Town, River, Texas 77802</v>
      </c>
    </row>
    <row r="5" spans="1:10" x14ac:dyDescent="0.15">
      <c r="A5" s="41">
        <v>3274</v>
      </c>
      <c r="B5" s="8" t="s">
        <v>9</v>
      </c>
    </row>
    <row r="6" spans="1:10" x14ac:dyDescent="0.15">
      <c r="A6" s="7"/>
    </row>
    <row r="7" spans="1:10" x14ac:dyDescent="0.15">
      <c r="A7" s="8" t="s">
        <v>10</v>
      </c>
    </row>
    <row r="8" spans="1:10" x14ac:dyDescent="0.15">
      <c r="A8" s="7" t="s">
        <v>11</v>
      </c>
    </row>
    <row r="9" spans="1:10" x14ac:dyDescent="0.15">
      <c r="A9" s="7" t="s">
        <v>12</v>
      </c>
    </row>
    <row r="10" spans="1:10" x14ac:dyDescent="0.15">
      <c r="A10" s="7" t="s">
        <v>13</v>
      </c>
    </row>
    <row r="11" spans="1:10" x14ac:dyDescent="0.15">
      <c r="A11" s="7" t="s">
        <v>14</v>
      </c>
    </row>
    <row r="12" spans="1:10" x14ac:dyDescent="0.15">
      <c r="A12" s="7"/>
    </row>
    <row r="13" spans="1:10" ht="14" x14ac:dyDescent="0.15">
      <c r="A13" s="9" t="s">
        <v>15</v>
      </c>
    </row>
    <row r="14" spans="1:10" x14ac:dyDescent="0.15">
      <c r="A14" s="7"/>
    </row>
    <row r="15" spans="1:10" x14ac:dyDescent="0.15">
      <c r="A15" s="76" t="s">
        <v>16</v>
      </c>
      <c r="B15" s="76"/>
      <c r="C15" s="76"/>
      <c r="D15" s="76"/>
      <c r="E15" s="76"/>
      <c r="F15" s="76"/>
      <c r="G15" s="76"/>
      <c r="H15" s="76"/>
      <c r="I15" s="76"/>
      <c r="J15" s="76"/>
    </row>
    <row r="16" spans="1:10" x14ac:dyDescent="0.15">
      <c r="A16" s="76"/>
      <c r="B16" s="76"/>
      <c r="C16" s="76"/>
      <c r="D16" s="76"/>
      <c r="E16" s="76"/>
      <c r="F16" s="76"/>
      <c r="G16" s="76"/>
      <c r="H16" s="76"/>
      <c r="I16" s="76"/>
      <c r="J16" s="76"/>
    </row>
    <row r="17" spans="1:10" x14ac:dyDescent="0.15">
      <c r="A17" s="76"/>
      <c r="B17" s="76"/>
      <c r="C17" s="76"/>
      <c r="D17" s="76"/>
      <c r="E17" s="76"/>
      <c r="F17" s="76"/>
      <c r="G17" s="76"/>
      <c r="H17" s="76"/>
      <c r="I17" s="76"/>
      <c r="J17" s="76"/>
    </row>
    <row r="18" spans="1:10" x14ac:dyDescent="0.15">
      <c r="A18" s="76"/>
      <c r="B18" s="76"/>
      <c r="C18" s="76"/>
      <c r="D18" s="76"/>
      <c r="E18" s="76"/>
      <c r="F18" s="76"/>
      <c r="G18" s="76"/>
      <c r="H18" s="76"/>
      <c r="I18" s="76"/>
      <c r="J18" s="76"/>
    </row>
    <row r="19" spans="1:10" x14ac:dyDescent="0.15">
      <c r="A19" s="77" t="s">
        <v>17</v>
      </c>
      <c r="B19" s="77"/>
      <c r="C19" s="77"/>
      <c r="D19" s="77"/>
      <c r="E19" s="77"/>
      <c r="F19" s="77"/>
      <c r="G19" s="77"/>
      <c r="H19" s="77"/>
      <c r="I19" s="77"/>
      <c r="J19" s="77"/>
    </row>
    <row r="20" spans="1:10" x14ac:dyDescent="0.15">
      <c r="A20" s="77"/>
      <c r="B20" s="77"/>
      <c r="C20" s="77"/>
      <c r="D20" s="77"/>
      <c r="E20" s="77"/>
      <c r="F20" s="77"/>
      <c r="G20" s="77"/>
      <c r="H20" s="77"/>
      <c r="I20" s="77"/>
      <c r="J20" s="77"/>
    </row>
    <row r="22" spans="1:10" ht="14" customHeight="1" x14ac:dyDescent="0.15">
      <c r="A22" s="76" t="s">
        <v>18</v>
      </c>
      <c r="B22" s="76"/>
      <c r="C22" s="76"/>
      <c r="D22" s="76"/>
      <c r="E22" s="76"/>
      <c r="F22" s="76"/>
      <c r="G22" s="76"/>
      <c r="H22" s="76"/>
      <c r="I22" s="76"/>
      <c r="J22" s="76"/>
    </row>
    <row r="23" spans="1:10" x14ac:dyDescent="0.15">
      <c r="A23" s="76"/>
      <c r="B23" s="76"/>
      <c r="C23" s="76"/>
      <c r="D23" s="76"/>
      <c r="E23" s="76"/>
      <c r="F23" s="76"/>
      <c r="G23" s="76"/>
      <c r="H23" s="76"/>
      <c r="I23" s="76"/>
      <c r="J23" s="76"/>
    </row>
    <row r="25" spans="1:10" x14ac:dyDescent="0.15">
      <c r="A25" s="77" t="s">
        <v>19</v>
      </c>
      <c r="B25" s="77"/>
      <c r="C25" s="77"/>
      <c r="D25" s="77"/>
      <c r="E25" s="77"/>
      <c r="F25" s="77"/>
      <c r="G25" s="77"/>
      <c r="H25" s="77"/>
      <c r="I25" s="77"/>
      <c r="J25" s="77"/>
    </row>
    <row r="26" spans="1:10" x14ac:dyDescent="0.15">
      <c r="A26" s="77"/>
      <c r="B26" s="77"/>
      <c r="C26" s="77"/>
      <c r="D26" s="77"/>
      <c r="E26" s="77"/>
      <c r="F26" s="77"/>
      <c r="G26" s="77"/>
      <c r="H26" s="77"/>
      <c r="I26" s="77"/>
      <c r="J26" s="77"/>
    </row>
    <row r="38" spans="6:10" x14ac:dyDescent="0.15">
      <c r="F38" s="11" t="s">
        <v>20</v>
      </c>
      <c r="G38" s="12"/>
      <c r="H38" s="12"/>
      <c r="I38" s="12"/>
      <c r="J38" s="12"/>
    </row>
    <row r="40" spans="6:10" x14ac:dyDescent="0.15">
      <c r="F40" s="11" t="s">
        <v>21</v>
      </c>
      <c r="G40" s="12"/>
      <c r="H40" s="12"/>
      <c r="I40" s="12"/>
      <c r="J40" s="12"/>
    </row>
    <row r="43" spans="6:10" x14ac:dyDescent="0.15">
      <c r="F43" s="11" t="s">
        <v>22</v>
      </c>
      <c r="G43" s="12"/>
      <c r="H43" s="12"/>
      <c r="I43" s="12"/>
      <c r="J43" s="12"/>
    </row>
    <row r="45" spans="6:10" x14ac:dyDescent="0.15">
      <c r="F45" s="11" t="s">
        <v>23</v>
      </c>
      <c r="G45" s="12"/>
      <c r="H45" s="12"/>
      <c r="I45" s="12"/>
      <c r="J45" s="12"/>
    </row>
    <row r="46" spans="6:10" x14ac:dyDescent="0.15">
      <c r="F46" s="11"/>
      <c r="G46" s="70"/>
      <c r="H46" s="70"/>
      <c r="I46" s="70"/>
      <c r="J46" s="70"/>
    </row>
    <row r="47" spans="6:10" x14ac:dyDescent="0.15">
      <c r="F47" s="11"/>
      <c r="G47" s="70"/>
      <c r="H47" s="70"/>
      <c r="I47" s="70"/>
      <c r="J47" s="70"/>
    </row>
    <row r="48" spans="6:10" x14ac:dyDescent="0.15">
      <c r="F48" s="11"/>
      <c r="G48" s="70"/>
      <c r="H48" s="70"/>
      <c r="I48" s="70"/>
      <c r="J48" s="70"/>
    </row>
    <row r="49" spans="1:10" x14ac:dyDescent="0.15">
      <c r="F49" s="11"/>
      <c r="G49" s="70"/>
      <c r="H49" s="70"/>
      <c r="I49" s="70"/>
      <c r="J49" s="70"/>
    </row>
    <row r="50" spans="1:10" x14ac:dyDescent="0.15">
      <c r="F50" s="11"/>
      <c r="G50" s="70"/>
      <c r="H50" s="70"/>
      <c r="I50" s="70"/>
      <c r="J50" s="70"/>
    </row>
    <row r="51" spans="1:10" x14ac:dyDescent="0.15">
      <c r="F51" s="11"/>
      <c r="G51" s="70"/>
      <c r="H51" s="70"/>
      <c r="I51" s="70"/>
      <c r="J51" s="70"/>
    </row>
    <row r="52" spans="1:10" ht="17" x14ac:dyDescent="0.2">
      <c r="A52" s="13" t="s">
        <v>24</v>
      </c>
    </row>
    <row r="54" spans="1:10" ht="15" x14ac:dyDescent="0.2">
      <c r="B54" s="31" t="s">
        <v>25</v>
      </c>
      <c r="C54" s="31" t="s">
        <v>26</v>
      </c>
      <c r="D54" s="31" t="s">
        <v>27</v>
      </c>
      <c r="E54" s="31" t="s">
        <v>28</v>
      </c>
      <c r="F54" s="31" t="s">
        <v>29</v>
      </c>
      <c r="G54" s="31" t="s">
        <v>30</v>
      </c>
      <c r="H54" s="31" t="s">
        <v>31</v>
      </c>
    </row>
    <row r="55" spans="1:10" x14ac:dyDescent="0.15">
      <c r="B55" s="28" t="s">
        <v>32</v>
      </c>
      <c r="C55" s="30">
        <v>42856</v>
      </c>
      <c r="D55" s="30">
        <f>C55</f>
        <v>42856</v>
      </c>
      <c r="E55">
        <f>D55-C55</f>
        <v>0</v>
      </c>
      <c r="F55" s="29">
        <f>(D:D/C:C)-1</f>
        <v>0</v>
      </c>
    </row>
    <row r="56" spans="1:10" x14ac:dyDescent="0.15">
      <c r="B56" s="28" t="s">
        <v>33</v>
      </c>
      <c r="C56" s="30">
        <f>Start_Date</f>
        <v>42859</v>
      </c>
      <c r="D56" s="30">
        <v>42917</v>
      </c>
      <c r="E56">
        <f>D56-C56</f>
        <v>58</v>
      </c>
      <c r="F56" s="29">
        <f>(D:D/C:C)-1</f>
        <v>1.3532746914299842E-3</v>
      </c>
    </row>
    <row r="57" spans="1:10" x14ac:dyDescent="0.15">
      <c r="B57" s="28" t="s">
        <v>34</v>
      </c>
      <c r="C57" s="30">
        <f ca="1">End_Date</f>
        <v>42999</v>
      </c>
      <c r="D57" s="30">
        <f ca="1">C57</f>
        <v>42999</v>
      </c>
      <c r="E57">
        <f ca="1">D57-C57</f>
        <v>0</v>
      </c>
      <c r="F57" s="29">
        <f ca="1">(D:D/C:C)-1</f>
        <v>0</v>
      </c>
    </row>
    <row r="58" spans="1:10" x14ac:dyDescent="0.15">
      <c r="B58" s="28" t="s">
        <v>35</v>
      </c>
      <c r="C58">
        <f ca="1">C57-C56</f>
        <v>140</v>
      </c>
      <c r="D58">
        <f ca="1">D57-D56</f>
        <v>82</v>
      </c>
      <c r="E58">
        <f ca="1">D58-C58</f>
        <v>-58</v>
      </c>
      <c r="F58" s="29">
        <f ca="1">(D:D/C:C)-1</f>
        <v>-0.41428571428571426</v>
      </c>
      <c r="G58" s="35">
        <f ca="1">D:D/SF</f>
        <v>2.504581551618815E-2</v>
      </c>
      <c r="H58" s="29">
        <f ca="1">E:E/SF</f>
        <v>-1.77153329260843E-2</v>
      </c>
    </row>
    <row r="59" spans="1:10" x14ac:dyDescent="0.15">
      <c r="B59" s="28" t="s">
        <v>36</v>
      </c>
      <c r="C59" s="16">
        <f>SUM('Payment Schedule'!H:H)</f>
        <v>68313.535499999998</v>
      </c>
      <c r="D59" s="16">
        <f>SUM('Payment Schedule'!I:I)</f>
        <v>40</v>
      </c>
      <c r="E59" s="16">
        <f>D59-C59</f>
        <v>-68273.535499999998</v>
      </c>
      <c r="F59" s="29">
        <f>(D:D/C:C)-1</f>
        <v>-0.99941446450242644</v>
      </c>
      <c r="G59" s="36">
        <f>D:D/SF</f>
        <v>1.2217470983506415E-2</v>
      </c>
      <c r="H59" s="36">
        <f>E:E/SF</f>
        <v>-20.853248472816126</v>
      </c>
    </row>
    <row r="61" spans="1:10" x14ac:dyDescent="0.15">
      <c r="B61" s="28" t="s">
        <v>37</v>
      </c>
      <c r="C61" s="30">
        <f ca="1">D57</f>
        <v>42999</v>
      </c>
      <c r="D61" s="30">
        <f ca="1">C61+1</f>
        <v>43000</v>
      </c>
      <c r="E61">
        <f ca="1">D61-C61</f>
        <v>1</v>
      </c>
      <c r="F61" s="29">
        <f ca="1">(D:D/C:C)-1</f>
        <v>2.3256354799050527E-5</v>
      </c>
    </row>
    <row r="62" spans="1:10" x14ac:dyDescent="0.15">
      <c r="B62" s="28" t="s">
        <v>38</v>
      </c>
      <c r="C62" s="30">
        <f ca="1">D61</f>
        <v>43000</v>
      </c>
      <c r="D62" s="30">
        <f t="shared" ref="D62:D63" ca="1" si="0">C62+1</f>
        <v>43001</v>
      </c>
      <c r="E62">
        <f t="shared" ref="E62:E63" ca="1" si="1">D62-C62</f>
        <v>1</v>
      </c>
      <c r="F62" s="29">
        <f ca="1">(D:D/C:C)-1</f>
        <v>2.3255813953459992E-5</v>
      </c>
    </row>
    <row r="63" spans="1:10" x14ac:dyDescent="0.15">
      <c r="B63" s="28" t="s">
        <v>39</v>
      </c>
      <c r="C63" s="30">
        <f ca="1">C62+21</f>
        <v>43021</v>
      </c>
      <c r="D63" s="30">
        <f t="shared" ca="1" si="0"/>
        <v>43022</v>
      </c>
      <c r="E63">
        <f t="shared" ca="1" si="1"/>
        <v>1</v>
      </c>
      <c r="F63" s="29">
        <f ca="1">(D:D/C:C)-1</f>
        <v>2.324446200696606E-5</v>
      </c>
    </row>
    <row r="64" spans="1:10" x14ac:dyDescent="0.15">
      <c r="B64" s="28" t="s">
        <v>40</v>
      </c>
      <c r="C64" s="30">
        <f ca="1">D63+45</f>
        <v>43067</v>
      </c>
      <c r="D64" s="30">
        <f ca="1">C64</f>
        <v>43067</v>
      </c>
      <c r="E64">
        <f t="shared" ref="E64" ca="1" si="2">D64-C64</f>
        <v>0</v>
      </c>
      <c r="F64" s="29">
        <f ca="1">(D:D/C:C)-1</f>
        <v>0</v>
      </c>
    </row>
    <row r="65" spans="2:8" x14ac:dyDescent="0.15">
      <c r="B65" s="28" t="s">
        <v>41</v>
      </c>
      <c r="C65" s="35">
        <f ca="1">C64-Purchased</f>
        <v>211</v>
      </c>
      <c r="D65" s="35">
        <f ca="1">D64-Purchased</f>
        <v>211</v>
      </c>
      <c r="E65">
        <f t="shared" ref="E65" ca="1" si="3">D65-C65</f>
        <v>0</v>
      </c>
      <c r="F65" s="29">
        <f ca="1">(D:D/C:C)-1</f>
        <v>0</v>
      </c>
      <c r="G65" s="35">
        <f ca="1">D:D/SF</f>
        <v>6.4447159437996338E-2</v>
      </c>
      <c r="H65" s="29">
        <f ca="1">E:E/SF</f>
        <v>0</v>
      </c>
    </row>
    <row r="67" spans="2:8" x14ac:dyDescent="0.15">
      <c r="B67" s="28" t="s">
        <v>42</v>
      </c>
      <c r="C67" s="36">
        <v>185000</v>
      </c>
      <c r="D67" s="36">
        <v>121500</v>
      </c>
      <c r="E67" s="16">
        <f>D67-C67</f>
        <v>-63500</v>
      </c>
      <c r="F67" s="29">
        <f>(D:D/C:C)-1</f>
        <v>-0.34324324324324329</v>
      </c>
      <c r="G67" s="16">
        <f t="shared" ref="G67:H69" si="4">D:D/SF</f>
        <v>37.110568112400735</v>
      </c>
      <c r="H67" s="16">
        <f t="shared" si="4"/>
        <v>-19.395235186316434</v>
      </c>
    </row>
    <row r="68" spans="2:8" x14ac:dyDescent="0.15">
      <c r="B68" s="28" t="s">
        <v>43</v>
      </c>
      <c r="C68" s="36">
        <v>280000</v>
      </c>
      <c r="D68" s="36">
        <f>C68</f>
        <v>280000</v>
      </c>
      <c r="E68" s="16">
        <f t="shared" ref="E68:E69" si="5">D68-C68</f>
        <v>0</v>
      </c>
      <c r="F68" s="29">
        <f>(D:D/C:C)-1</f>
        <v>0</v>
      </c>
      <c r="G68" s="16">
        <f t="shared" si="4"/>
        <v>85.5222968845449</v>
      </c>
      <c r="H68" s="16">
        <f t="shared" si="4"/>
        <v>0</v>
      </c>
    </row>
    <row r="69" spans="2:8" x14ac:dyDescent="0.15">
      <c r="B69" s="28" t="s">
        <v>44</v>
      </c>
      <c r="C69" s="36">
        <f>(C68-C67-C59)</f>
        <v>26686.464500000002</v>
      </c>
      <c r="D69" s="36">
        <f>(D68-D67-D59)</f>
        <v>158460</v>
      </c>
      <c r="E69" s="16">
        <f t="shared" si="5"/>
        <v>131773.5355</v>
      </c>
      <c r="F69" s="29">
        <f>(D:D/C:C)-1</f>
        <v>4.9378416350356185</v>
      </c>
      <c r="G69" s="16">
        <f t="shared" si="4"/>
        <v>48.399511301160658</v>
      </c>
      <c r="H69" s="16">
        <f t="shared" si="4"/>
        <v>40.24848365913256</v>
      </c>
    </row>
    <row r="70" spans="2:8" x14ac:dyDescent="0.15">
      <c r="G70" s="16"/>
      <c r="H70" s="16"/>
    </row>
    <row r="71" spans="2:8" x14ac:dyDescent="0.15">
      <c r="B71" s="28" t="s">
        <v>45</v>
      </c>
      <c r="C71" s="37">
        <f>C68*0.06</f>
        <v>16800</v>
      </c>
      <c r="D71" s="37">
        <f>D68*0.06</f>
        <v>16800</v>
      </c>
      <c r="E71" s="16">
        <f t="shared" ref="E71" si="6">D71-C71</f>
        <v>0</v>
      </c>
      <c r="F71" s="29">
        <f>(D:D/C:C)-1</f>
        <v>0</v>
      </c>
      <c r="G71" s="16">
        <f t="shared" ref="G71:H74" si="7">D:D/SF</f>
        <v>5.1313378130726939</v>
      </c>
      <c r="H71" s="16">
        <f t="shared" si="7"/>
        <v>0</v>
      </c>
    </row>
    <row r="72" spans="2:8" x14ac:dyDescent="0.15">
      <c r="B72" s="28" t="s">
        <v>46</v>
      </c>
      <c r="C72" s="38">
        <f ca="1">(C67+C59)*(0.1/360)*C65</f>
        <v>14846.987775138889</v>
      </c>
      <c r="D72" s="38">
        <f ca="1">(D67+D59)*(0.1/360)*D65</f>
        <v>7123.5944444444449</v>
      </c>
      <c r="E72" s="16">
        <f t="shared" ref="E72:E74" ca="1" si="8">D72-C72</f>
        <v>-7723.3933306944436</v>
      </c>
      <c r="F72" s="29">
        <f ca="1">(D:D/C:C)-1</f>
        <v>-0.52019934599981132</v>
      </c>
      <c r="G72" s="16">
        <f t="shared" ca="1" si="7"/>
        <v>2.1758077105816875</v>
      </c>
      <c r="H72" s="16">
        <f t="shared" ca="1" si="7"/>
        <v>-2.3590083477991581</v>
      </c>
    </row>
    <row r="73" spans="2:8" x14ac:dyDescent="0.15">
      <c r="B73" s="28" t="s">
        <v>47</v>
      </c>
      <c r="C73" s="37">
        <f>C68*0.03</f>
        <v>8400</v>
      </c>
      <c r="D73" s="37">
        <f>D68*0.03</f>
        <v>8400</v>
      </c>
      <c r="E73" s="16">
        <f t="shared" si="8"/>
        <v>0</v>
      </c>
      <c r="F73" s="29">
        <f>(D:D/C:C)-1</f>
        <v>0</v>
      </c>
      <c r="G73" s="16">
        <f t="shared" si="7"/>
        <v>2.5656689065363469</v>
      </c>
      <c r="H73" s="16">
        <f t="shared" si="7"/>
        <v>0</v>
      </c>
    </row>
    <row r="74" spans="2:8" x14ac:dyDescent="0.15">
      <c r="B74" s="28" t="s">
        <v>48</v>
      </c>
      <c r="C74" s="37">
        <f ca="1">C69-SUM(C71:C73)</f>
        <v>-13360.523275138883</v>
      </c>
      <c r="D74" s="37">
        <f ca="1">D69-SUM(D71:D73)</f>
        <v>126136.40555555555</v>
      </c>
      <c r="E74" s="16">
        <f t="shared" ca="1" si="8"/>
        <v>139496.92883069444</v>
      </c>
      <c r="F74" s="29">
        <f ca="1">(D:D/C:C)-1</f>
        <v>-10.440977943601117</v>
      </c>
      <c r="G74" s="16">
        <f t="shared" ca="1" si="7"/>
        <v>38.526696870969928</v>
      </c>
      <c r="H74" s="16">
        <f t="shared" ca="1" si="7"/>
        <v>42.607492006931714</v>
      </c>
    </row>
  </sheetData>
  <mergeCells count="4">
    <mergeCell ref="A15:J18"/>
    <mergeCell ref="A19:J20"/>
    <mergeCell ref="A22:J23"/>
    <mergeCell ref="A25:J26"/>
  </mergeCells>
  <phoneticPr fontId="4" type="noConversion"/>
  <pageMargins left="0.5" right="0.5" top="1" bottom="0.75" header="0.3" footer="0.3"/>
  <pageSetup scale="98" fitToHeight="100" orientation="portrait" useFirstPageNumber="1" horizontalDpi="0" verticalDpi="0"/>
  <headerFooter>
    <oddHeader>&amp;C&amp;"Myriad Pro Bold,Bold"&amp;11&amp;K550004Hermit Haus Redevelopment, LLC&amp;14&amp;K6A0003_x000D_&amp;F</oddHeader>
    <oddFooter>&amp;L&amp;B Confidential&amp;B&amp;C&amp;D&amp;RPage &amp;P</oddFooter>
  </headerFooter>
  <drawing r:id="rId1"/>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topLeftCell="A10" zoomScale="150" workbookViewId="0">
      <selection activeCell="A25" sqref="A25:XFD28"/>
    </sheetView>
  </sheetViews>
  <sheetFormatPr baseColWidth="10" defaultColWidth="11" defaultRowHeight="13" x14ac:dyDescent="0.15"/>
  <cols>
    <col min="1" max="1" width="13.19921875" style="23" customWidth="1"/>
    <col min="2" max="2" width="20.796875" style="10" customWidth="1"/>
    <col min="3" max="3" width="49" style="10" customWidth="1"/>
    <col min="4" max="7" width="11" style="21"/>
    <col min="8" max="9" width="11" style="22"/>
    <col min="10" max="16384" width="11" style="23"/>
  </cols>
  <sheetData>
    <row r="1" spans="1:9" ht="19" x14ac:dyDescent="0.15">
      <c r="A1" s="20" t="s">
        <v>49</v>
      </c>
      <c r="B1" s="50"/>
      <c r="C1" s="50"/>
    </row>
    <row r="2" spans="1:9" ht="15" x14ac:dyDescent="0.15">
      <c r="A2" s="24" t="s">
        <v>50</v>
      </c>
      <c r="B2" s="50" t="str">
        <f ca="1">Project_Name</f>
        <v>Road Runner-2017</v>
      </c>
      <c r="C2" s="50"/>
    </row>
    <row r="3" spans="1:9" ht="15" x14ac:dyDescent="0.15">
      <c r="A3" s="24" t="s">
        <v>51</v>
      </c>
      <c r="B3" s="50"/>
      <c r="C3" s="50"/>
    </row>
    <row r="4" spans="1:9" x14ac:dyDescent="0.15">
      <c r="B4" s="50"/>
      <c r="C4" s="50"/>
      <c r="D4" s="18"/>
      <c r="E4" s="18"/>
      <c r="F4" s="18"/>
    </row>
    <row r="5" spans="1:9" ht="14" customHeight="1" x14ac:dyDescent="0.15">
      <c r="A5" s="76" t="s">
        <v>52</v>
      </c>
      <c r="B5" s="76"/>
      <c r="C5" s="76"/>
      <c r="D5" s="76"/>
      <c r="E5" s="76"/>
      <c r="F5" s="76"/>
      <c r="G5" s="76"/>
    </row>
    <row r="6" spans="1:9" x14ac:dyDescent="0.15">
      <c r="A6" s="76"/>
      <c r="B6" s="76"/>
      <c r="C6" s="76"/>
      <c r="D6" s="76"/>
      <c r="E6" s="76"/>
      <c r="F6" s="76"/>
      <c r="G6" s="76"/>
    </row>
    <row r="7" spans="1:9" x14ac:dyDescent="0.15">
      <c r="A7" s="76"/>
      <c r="B7" s="76"/>
      <c r="C7" s="76"/>
      <c r="D7" s="76"/>
      <c r="E7" s="76"/>
      <c r="F7" s="76"/>
      <c r="G7" s="76"/>
    </row>
    <row r="8" spans="1:9" x14ac:dyDescent="0.15">
      <c r="A8" s="76"/>
      <c r="B8" s="76"/>
      <c r="C8" s="76"/>
      <c r="D8" s="76"/>
      <c r="E8" s="76"/>
      <c r="F8" s="76"/>
      <c r="G8" s="76"/>
    </row>
    <row r="9" spans="1:9" x14ac:dyDescent="0.15">
      <c r="A9" s="76"/>
      <c r="B9" s="76"/>
      <c r="C9" s="76"/>
      <c r="D9" s="76"/>
      <c r="E9" s="76"/>
      <c r="F9" s="76"/>
      <c r="G9" s="76"/>
    </row>
    <row r="11" spans="1:9" s="14" customFormat="1" ht="30" x14ac:dyDescent="0.2">
      <c r="A11" s="15" t="s">
        <v>53</v>
      </c>
      <c r="B11" s="15" t="s">
        <v>54</v>
      </c>
      <c r="C11" s="15" t="s">
        <v>55</v>
      </c>
      <c r="D11" s="19" t="s">
        <v>33</v>
      </c>
      <c r="E11" s="19" t="s">
        <v>56</v>
      </c>
      <c r="F11" s="19" t="s">
        <v>57</v>
      </c>
      <c r="G11" s="19" t="s">
        <v>58</v>
      </c>
      <c r="H11" s="17" t="s">
        <v>59</v>
      </c>
      <c r="I11" s="17" t="s">
        <v>60</v>
      </c>
    </row>
    <row r="12" spans="1:9" x14ac:dyDescent="0.15">
      <c r="A12" s="23" t="s">
        <v>288</v>
      </c>
      <c r="B12" s="50" t="s">
        <v>69</v>
      </c>
      <c r="C12" s="50" t="s">
        <v>289</v>
      </c>
      <c r="D12" s="21">
        <f>Start_Date+5</f>
        <v>42864</v>
      </c>
      <c r="E12" s="21">
        <f>D12+7</f>
        <v>42871</v>
      </c>
      <c r="H12" s="22">
        <v>10</v>
      </c>
    </row>
    <row r="13" spans="1:9" x14ac:dyDescent="0.15">
      <c r="B13" s="50"/>
      <c r="C13" s="50" t="s">
        <v>290</v>
      </c>
      <c r="D13" s="21">
        <f>E12+7</f>
        <v>42878</v>
      </c>
      <c r="E13" s="21">
        <f>D13+7</f>
        <v>42885</v>
      </c>
      <c r="H13" s="22">
        <v>10</v>
      </c>
    </row>
    <row r="14" spans="1:9" x14ac:dyDescent="0.15">
      <c r="B14" s="50"/>
      <c r="C14" s="50" t="s">
        <v>291</v>
      </c>
      <c r="D14" s="21">
        <f ca="1">E14-7</f>
        <v>42992</v>
      </c>
      <c r="E14" s="21">
        <f ca="1">End_Date</f>
        <v>42999</v>
      </c>
      <c r="H14" s="22">
        <v>10</v>
      </c>
    </row>
    <row r="15" spans="1:9" x14ac:dyDescent="0.15">
      <c r="B15" s="50"/>
      <c r="C15" s="50" t="s">
        <v>61</v>
      </c>
      <c r="H15" s="22">
        <f>SUM(H12:H14)</f>
        <v>30</v>
      </c>
      <c r="I15" s="22">
        <f>SUM(I12:I14)</f>
        <v>0</v>
      </c>
    </row>
    <row r="17" spans="1:9" x14ac:dyDescent="0.15">
      <c r="A17" s="23" t="s">
        <v>62</v>
      </c>
      <c r="B17" s="76" t="s">
        <v>292</v>
      </c>
      <c r="C17" s="50" t="s">
        <v>293</v>
      </c>
      <c r="D17" s="21">
        <v>42908</v>
      </c>
      <c r="E17" s="21">
        <v>42908</v>
      </c>
      <c r="F17" s="21">
        <v>42908</v>
      </c>
      <c r="G17" s="21">
        <v>42910</v>
      </c>
      <c r="H17" s="22">
        <v>40</v>
      </c>
      <c r="I17" s="22">
        <v>40</v>
      </c>
    </row>
    <row r="18" spans="1:9" x14ac:dyDescent="0.15">
      <c r="B18" s="76"/>
      <c r="C18" s="71" t="s">
        <v>294</v>
      </c>
      <c r="D18" s="21">
        <f>D17+21</f>
        <v>42929</v>
      </c>
      <c r="H18" s="22">
        <v>40</v>
      </c>
    </row>
    <row r="19" spans="1:9" x14ac:dyDescent="0.15">
      <c r="B19" s="76"/>
      <c r="C19" s="71" t="s">
        <v>295</v>
      </c>
      <c r="D19" s="21">
        <f>D18+21</f>
        <v>42950</v>
      </c>
      <c r="H19" s="22">
        <v>40</v>
      </c>
    </row>
    <row r="20" spans="1:9" x14ac:dyDescent="0.15">
      <c r="B20" s="71"/>
      <c r="C20" s="71" t="s">
        <v>296</v>
      </c>
      <c r="D20" s="21">
        <f>D19+21</f>
        <v>42971</v>
      </c>
      <c r="H20" s="22">
        <v>0</v>
      </c>
    </row>
    <row r="21" spans="1:9" x14ac:dyDescent="0.15">
      <c r="B21" s="71"/>
      <c r="C21" s="71" t="s">
        <v>297</v>
      </c>
      <c r="D21" s="21">
        <f>D20+21</f>
        <v>42992</v>
      </c>
      <c r="H21" s="22">
        <v>40</v>
      </c>
    </row>
    <row r="22" spans="1:9" x14ac:dyDescent="0.15">
      <c r="B22" s="71"/>
      <c r="C22" s="71"/>
    </row>
    <row r="23" spans="1:9" x14ac:dyDescent="0.15">
      <c r="B23" s="71" t="s">
        <v>69</v>
      </c>
      <c r="C23" s="71" t="s">
        <v>298</v>
      </c>
      <c r="D23" s="21">
        <v>42950</v>
      </c>
      <c r="H23" s="22">
        <v>100</v>
      </c>
    </row>
    <row r="24" spans="1:9" x14ac:dyDescent="0.15">
      <c r="B24" s="71"/>
      <c r="C24" s="71"/>
    </row>
    <row r="25" spans="1:9" x14ac:dyDescent="0.15">
      <c r="A25" s="23" t="s">
        <v>304</v>
      </c>
      <c r="B25" s="71" t="s">
        <v>69</v>
      </c>
      <c r="C25" s="71" t="s">
        <v>305</v>
      </c>
      <c r="H25" s="22">
        <v>850</v>
      </c>
    </row>
    <row r="26" spans="1:9" x14ac:dyDescent="0.15">
      <c r="B26" s="71"/>
      <c r="C26" s="71"/>
    </row>
    <row r="27" spans="1:9" x14ac:dyDescent="0.15">
      <c r="A27" s="23" t="s">
        <v>65</v>
      </c>
      <c r="B27" s="50" t="s">
        <v>66</v>
      </c>
      <c r="C27" s="50" t="s">
        <v>67</v>
      </c>
      <c r="H27" s="22">
        <f>SUM(H12:H26)*5%</f>
        <v>58.5</v>
      </c>
    </row>
    <row r="29" spans="1:9" x14ac:dyDescent="0.15">
      <c r="A29" s="23" t="s">
        <v>68</v>
      </c>
      <c r="B29" s="50" t="s">
        <v>69</v>
      </c>
      <c r="C29" s="50" t="s">
        <v>299</v>
      </c>
      <c r="H29" s="22">
        <v>0</v>
      </c>
    </row>
    <row r="30" spans="1:9" x14ac:dyDescent="0.15">
      <c r="B30" s="50" t="s">
        <v>69</v>
      </c>
      <c r="C30" s="71" t="s">
        <v>300</v>
      </c>
      <c r="H30" s="22">
        <v>1</v>
      </c>
    </row>
    <row r="31" spans="1:9" x14ac:dyDescent="0.15">
      <c r="B31" s="50" t="s">
        <v>69</v>
      </c>
      <c r="C31" s="71" t="s">
        <v>301</v>
      </c>
    </row>
  </sheetData>
  <mergeCells count="2">
    <mergeCell ref="A5:G9"/>
    <mergeCell ref="B17:B19"/>
  </mergeCells>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workbookViewId="0">
      <selection activeCell="A6" sqref="A6"/>
    </sheetView>
  </sheetViews>
  <sheetFormatPr baseColWidth="10" defaultColWidth="11" defaultRowHeight="13" x14ac:dyDescent="0.15"/>
  <cols>
    <col min="1" max="1" width="13.19921875" style="25" customWidth="1"/>
    <col min="2" max="2" width="20.796875" style="25" customWidth="1"/>
    <col min="3" max="3" width="49" style="25" customWidth="1"/>
    <col min="4" max="7" width="11" style="21"/>
    <col min="8" max="9" width="11" style="22"/>
    <col min="10" max="16384" width="11" style="23"/>
  </cols>
  <sheetData>
    <row r="1" spans="1:9" ht="19" x14ac:dyDescent="0.15">
      <c r="A1" s="20" t="s">
        <v>73</v>
      </c>
      <c r="B1" s="50"/>
      <c r="C1" s="50"/>
    </row>
    <row r="2" spans="1:9" ht="15" x14ac:dyDescent="0.15">
      <c r="A2" s="26" t="s">
        <v>50</v>
      </c>
      <c r="B2" s="50" t="str">
        <f ca="1">Project_Name</f>
        <v>Road Runner-2017</v>
      </c>
      <c r="C2" s="50"/>
    </row>
    <row r="3" spans="1:9" ht="15" x14ac:dyDescent="0.15">
      <c r="A3" s="26" t="s">
        <v>51</v>
      </c>
      <c r="B3" s="50" t="s">
        <v>306</v>
      </c>
      <c r="C3" s="50"/>
    </row>
    <row r="4" spans="1:9" x14ac:dyDescent="0.15">
      <c r="A4" s="23" t="s">
        <v>308</v>
      </c>
      <c r="B4" s="50"/>
      <c r="C4" s="50"/>
      <c r="D4" s="18"/>
      <c r="E4" s="18"/>
      <c r="F4" s="18"/>
    </row>
    <row r="5" spans="1:9" ht="14" customHeight="1" x14ac:dyDescent="0.15">
      <c r="A5" s="50"/>
      <c r="B5" s="50"/>
      <c r="C5" s="50"/>
      <c r="D5" s="50"/>
      <c r="E5" s="50"/>
      <c r="F5" s="50"/>
      <c r="G5" s="50"/>
    </row>
    <row r="6" spans="1:9" x14ac:dyDescent="0.15">
      <c r="A6" s="23"/>
      <c r="B6" s="50"/>
      <c r="C6" s="50"/>
      <c r="D6" s="50"/>
      <c r="E6" s="50"/>
      <c r="F6" s="50"/>
      <c r="G6" s="50"/>
    </row>
    <row r="7" spans="1:9" x14ac:dyDescent="0.15">
      <c r="A7" s="23" t="s">
        <v>74</v>
      </c>
      <c r="B7" s="50"/>
      <c r="C7" s="50"/>
      <c r="D7" s="50"/>
      <c r="E7" s="50"/>
      <c r="F7" s="50"/>
      <c r="G7" s="50"/>
    </row>
    <row r="8" spans="1:9" x14ac:dyDescent="0.15">
      <c r="A8" s="23" t="s">
        <v>75</v>
      </c>
      <c r="B8" s="50"/>
      <c r="C8" s="50"/>
      <c r="D8" s="50"/>
      <c r="E8" s="50"/>
      <c r="F8" s="50"/>
      <c r="G8" s="50"/>
    </row>
    <row r="9" spans="1:9" x14ac:dyDescent="0.15">
      <c r="A9" s="23" t="s">
        <v>76</v>
      </c>
      <c r="B9" s="50"/>
      <c r="C9" s="50"/>
      <c r="D9" s="50"/>
      <c r="E9" s="50"/>
      <c r="F9" s="50"/>
      <c r="G9" s="50"/>
    </row>
    <row r="11" spans="1:9" s="14" customFormat="1" ht="30" x14ac:dyDescent="0.2">
      <c r="A11" s="15" t="s">
        <v>53</v>
      </c>
      <c r="B11" s="15" t="s">
        <v>54</v>
      </c>
      <c r="C11" s="15" t="s">
        <v>55</v>
      </c>
      <c r="D11" s="19" t="s">
        <v>33</v>
      </c>
      <c r="E11" s="19" t="s">
        <v>56</v>
      </c>
      <c r="F11" s="19" t="s">
        <v>57</v>
      </c>
      <c r="G11" s="19" t="s">
        <v>58</v>
      </c>
      <c r="H11" s="17" t="s">
        <v>59</v>
      </c>
      <c r="I11" s="17" t="s">
        <v>60</v>
      </c>
    </row>
    <row r="12" spans="1:9" x14ac:dyDescent="0.15">
      <c r="A12" s="50" t="s">
        <v>77</v>
      </c>
      <c r="B12" s="50" t="s">
        <v>78</v>
      </c>
      <c r="C12" s="50" t="str">
        <f>A4</f>
        <v>No roof work is anticipated for this project.</v>
      </c>
      <c r="D12" s="21">
        <f>Start_Date</f>
        <v>42859</v>
      </c>
      <c r="E12" s="21">
        <f>D12+2</f>
        <v>42861</v>
      </c>
    </row>
    <row r="13" spans="1:9" x14ac:dyDescent="0.15">
      <c r="A13" s="50"/>
      <c r="B13" s="50"/>
      <c r="C13" s="27" t="s">
        <v>79</v>
      </c>
    </row>
    <row r="14" spans="1:9" x14ac:dyDescent="0.15">
      <c r="A14" s="50"/>
      <c r="B14" s="50"/>
      <c r="C14" s="27" t="s">
        <v>80</v>
      </c>
    </row>
    <row r="15" spans="1:9" ht="26" x14ac:dyDescent="0.15">
      <c r="A15" s="50"/>
      <c r="B15" s="50"/>
      <c r="C15" s="27" t="s">
        <v>81</v>
      </c>
    </row>
    <row r="16" spans="1:9" x14ac:dyDescent="0.15">
      <c r="A16" s="50"/>
      <c r="B16" s="50"/>
      <c r="C16" s="27" t="s">
        <v>82</v>
      </c>
    </row>
    <row r="17" spans="1:9" x14ac:dyDescent="0.15">
      <c r="A17" s="50"/>
      <c r="B17" s="50"/>
      <c r="C17" s="27"/>
    </row>
    <row r="18" spans="1:9" x14ac:dyDescent="0.15">
      <c r="A18" s="50" t="s">
        <v>77</v>
      </c>
      <c r="B18" s="50" t="s">
        <v>78</v>
      </c>
      <c r="C18" s="50" t="s">
        <v>83</v>
      </c>
      <c r="D18" s="21">
        <f>Start_Date</f>
        <v>42859</v>
      </c>
      <c r="E18" s="21">
        <f>D18+3</f>
        <v>42862</v>
      </c>
    </row>
    <row r="19" spans="1:9" x14ac:dyDescent="0.15">
      <c r="A19" s="50"/>
      <c r="B19" s="50"/>
      <c r="C19" s="27" t="s">
        <v>84</v>
      </c>
    </row>
    <row r="20" spans="1:9" x14ac:dyDescent="0.15">
      <c r="A20" s="50"/>
      <c r="B20" s="50"/>
      <c r="C20" s="27" t="s">
        <v>85</v>
      </c>
    </row>
    <row r="21" spans="1:9" s="21" customFormat="1" x14ac:dyDescent="0.15">
      <c r="A21" s="50"/>
      <c r="B21" s="50"/>
      <c r="C21" s="27" t="s">
        <v>86</v>
      </c>
      <c r="H21" s="22"/>
      <c r="I21" s="22"/>
    </row>
    <row r="22" spans="1:9" s="21" customFormat="1" ht="26" x14ac:dyDescent="0.15">
      <c r="A22" s="50"/>
      <c r="B22" s="50"/>
      <c r="C22" s="27" t="s">
        <v>87</v>
      </c>
      <c r="H22" s="22"/>
      <c r="I22" s="22"/>
    </row>
    <row r="23" spans="1:9" x14ac:dyDescent="0.15">
      <c r="A23" s="50"/>
      <c r="B23" s="50"/>
      <c r="C23" s="27" t="s">
        <v>82</v>
      </c>
    </row>
    <row r="25" spans="1:9" s="21" customFormat="1" x14ac:dyDescent="0.15">
      <c r="A25" s="50"/>
      <c r="B25" s="50"/>
      <c r="C25" s="27"/>
      <c r="H25" s="22"/>
      <c r="I25" s="22"/>
    </row>
    <row r="26" spans="1:9" s="21" customFormat="1" x14ac:dyDescent="0.15">
      <c r="A26" s="50" t="s">
        <v>88</v>
      </c>
      <c r="B26" s="50" t="s">
        <v>89</v>
      </c>
      <c r="C26" s="33" t="s">
        <v>90</v>
      </c>
      <c r="H26" s="22"/>
      <c r="I26" s="22"/>
    </row>
    <row r="27" spans="1:9" s="21" customFormat="1" x14ac:dyDescent="0.15">
      <c r="A27" s="50"/>
      <c r="B27" s="50"/>
      <c r="C27" s="27" t="s">
        <v>91</v>
      </c>
      <c r="H27" s="22"/>
      <c r="I27" s="22"/>
    </row>
    <row r="28" spans="1:9" s="21" customFormat="1" x14ac:dyDescent="0.15">
      <c r="A28" s="50"/>
      <c r="B28" s="50"/>
      <c r="C28" s="27" t="s">
        <v>92</v>
      </c>
      <c r="H28" s="22"/>
      <c r="I28" s="22"/>
    </row>
    <row r="29" spans="1:9" s="21" customFormat="1" x14ac:dyDescent="0.15">
      <c r="A29" s="50"/>
      <c r="B29" s="50"/>
      <c r="C29" s="27"/>
      <c r="H29" s="22"/>
      <c r="I29" s="22"/>
    </row>
    <row r="30" spans="1:9" s="21" customFormat="1" x14ac:dyDescent="0.15">
      <c r="A30" s="50"/>
      <c r="B30" s="50"/>
      <c r="C30" s="27"/>
      <c r="H30" s="22"/>
      <c r="I30" s="22"/>
    </row>
    <row r="31" spans="1:9" s="21" customFormat="1" x14ac:dyDescent="0.15">
      <c r="A31" s="50"/>
      <c r="B31" s="50"/>
      <c r="C31" s="27"/>
      <c r="H31" s="22"/>
      <c r="I31" s="22"/>
    </row>
    <row r="32" spans="1:9" s="21" customFormat="1" x14ac:dyDescent="0.15">
      <c r="A32" s="50" t="s">
        <v>68</v>
      </c>
      <c r="B32" s="50" t="s">
        <v>69</v>
      </c>
      <c r="C32" s="50" t="s">
        <v>70</v>
      </c>
      <c r="H32" s="22"/>
      <c r="I32" s="22"/>
    </row>
    <row r="33" spans="1:9" s="21" customFormat="1" x14ac:dyDescent="0.15">
      <c r="A33" s="50"/>
      <c r="B33" s="50" t="s">
        <v>69</v>
      </c>
      <c r="C33" s="50" t="s">
        <v>71</v>
      </c>
      <c r="H33" s="22"/>
      <c r="I33" s="22"/>
    </row>
    <row r="34" spans="1:9" s="21" customFormat="1" x14ac:dyDescent="0.15">
      <c r="A34" s="50"/>
      <c r="B34" s="50" t="s">
        <v>69</v>
      </c>
      <c r="C34" s="50" t="s">
        <v>72</v>
      </c>
      <c r="H34" s="22"/>
      <c r="I34" s="22"/>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Layout" topLeftCell="A18" workbookViewId="0">
      <selection activeCell="C25" sqref="C25"/>
    </sheetView>
  </sheetViews>
  <sheetFormatPr baseColWidth="10" defaultColWidth="11" defaultRowHeight="13" x14ac:dyDescent="0.15"/>
  <cols>
    <col min="1" max="1" width="13.19921875" style="10" customWidth="1"/>
    <col min="2" max="2" width="20.796875" style="10" customWidth="1"/>
    <col min="3" max="3" width="49" style="10" customWidth="1"/>
    <col min="4" max="7" width="11" style="21"/>
    <col min="8" max="9" width="11" style="22"/>
    <col min="10" max="16384" width="11" style="23"/>
  </cols>
  <sheetData>
    <row r="1" spans="1:9" ht="19" x14ac:dyDescent="0.15">
      <c r="A1" s="20" t="s">
        <v>93</v>
      </c>
      <c r="B1" s="50"/>
      <c r="C1" s="50"/>
    </row>
    <row r="2" spans="1:9" ht="15" x14ac:dyDescent="0.15">
      <c r="A2" s="26" t="s">
        <v>50</v>
      </c>
      <c r="B2" s="50" t="str">
        <f ca="1">Project_Name</f>
        <v>Road Runner-2017</v>
      </c>
      <c r="C2" s="50"/>
    </row>
    <row r="3" spans="1:9" ht="15" x14ac:dyDescent="0.15">
      <c r="A3" s="26" t="s">
        <v>51</v>
      </c>
      <c r="B3" s="50"/>
      <c r="C3" s="50"/>
    </row>
    <row r="4" spans="1:9" x14ac:dyDescent="0.15">
      <c r="A4" s="50"/>
      <c r="B4" s="50"/>
      <c r="C4" s="50"/>
      <c r="D4" s="18"/>
      <c r="E4" s="18"/>
      <c r="F4" s="18"/>
    </row>
    <row r="5" spans="1:9" ht="14" customHeight="1" x14ac:dyDescent="0.15">
      <c r="A5" s="23" t="s">
        <v>94</v>
      </c>
      <c r="B5" s="50"/>
      <c r="C5" s="50"/>
      <c r="D5" s="50"/>
      <c r="E5" s="50"/>
      <c r="F5" s="50"/>
      <c r="G5" s="50"/>
    </row>
    <row r="6" spans="1:9" x14ac:dyDescent="0.15">
      <c r="A6" s="23" t="s">
        <v>95</v>
      </c>
      <c r="B6" s="50"/>
      <c r="C6" s="50"/>
      <c r="D6" s="50"/>
      <c r="E6" s="50"/>
      <c r="F6" s="50"/>
      <c r="G6" s="50"/>
    </row>
    <row r="7" spans="1:9" x14ac:dyDescent="0.15">
      <c r="A7" s="23" t="s">
        <v>96</v>
      </c>
      <c r="B7" s="50"/>
      <c r="C7" s="50"/>
      <c r="D7" s="50"/>
      <c r="E7" s="50"/>
      <c r="F7" s="50"/>
      <c r="G7" s="50"/>
    </row>
    <row r="8" spans="1:9" x14ac:dyDescent="0.15">
      <c r="A8" s="23" t="s">
        <v>75</v>
      </c>
      <c r="B8" s="50"/>
      <c r="C8" s="50"/>
      <c r="D8" s="50"/>
      <c r="E8" s="50"/>
      <c r="F8" s="50"/>
      <c r="G8" s="50"/>
    </row>
    <row r="9" spans="1:9" x14ac:dyDescent="0.15">
      <c r="A9" s="23" t="s">
        <v>76</v>
      </c>
      <c r="B9" s="50"/>
      <c r="C9" s="50"/>
      <c r="D9" s="50"/>
      <c r="E9" s="50"/>
      <c r="F9" s="50"/>
      <c r="G9" s="50"/>
    </row>
    <row r="11" spans="1:9" s="14" customFormat="1" ht="30" x14ac:dyDescent="0.2">
      <c r="A11" s="15" t="s">
        <v>53</v>
      </c>
      <c r="B11" s="15" t="s">
        <v>54</v>
      </c>
      <c r="C11" s="15" t="s">
        <v>55</v>
      </c>
      <c r="D11" s="19" t="s">
        <v>33</v>
      </c>
      <c r="E11" s="19" t="s">
        <v>56</v>
      </c>
      <c r="F11" s="19" t="s">
        <v>57</v>
      </c>
      <c r="G11" s="19" t="s">
        <v>58</v>
      </c>
      <c r="H11" s="17" t="s">
        <v>59</v>
      </c>
      <c r="I11" s="17" t="s">
        <v>60</v>
      </c>
    </row>
    <row r="12" spans="1:9" ht="26" x14ac:dyDescent="0.15">
      <c r="A12" s="50" t="s">
        <v>97</v>
      </c>
      <c r="B12" s="50" t="s">
        <v>314</v>
      </c>
      <c r="C12" s="50" t="s">
        <v>98</v>
      </c>
      <c r="H12" s="22">
        <v>0</v>
      </c>
    </row>
    <row r="13" spans="1:9" x14ac:dyDescent="0.15">
      <c r="A13" s="50"/>
      <c r="B13" s="50"/>
      <c r="C13" s="27" t="s">
        <v>309</v>
      </c>
    </row>
    <row r="14" spans="1:9" x14ac:dyDescent="0.15">
      <c r="A14" s="50"/>
      <c r="B14" s="50"/>
      <c r="C14" s="27" t="s">
        <v>310</v>
      </c>
    </row>
    <row r="15" spans="1:9" x14ac:dyDescent="0.15">
      <c r="A15" s="50"/>
      <c r="B15" s="50"/>
      <c r="C15" s="27" t="s">
        <v>311</v>
      </c>
    </row>
    <row r="16" spans="1:9" x14ac:dyDescent="0.15">
      <c r="A16" s="50"/>
      <c r="B16" s="50"/>
      <c r="C16" s="27"/>
    </row>
    <row r="17" spans="1:8" x14ac:dyDescent="0.15">
      <c r="A17" s="50" t="s">
        <v>99</v>
      </c>
      <c r="B17" s="50" t="s">
        <v>313</v>
      </c>
      <c r="C17" s="50" t="s">
        <v>100</v>
      </c>
      <c r="H17" s="22">
        <v>0</v>
      </c>
    </row>
    <row r="18" spans="1:8" ht="26" x14ac:dyDescent="0.15">
      <c r="A18" s="71"/>
      <c r="B18" s="71"/>
      <c r="C18" s="27" t="s">
        <v>312</v>
      </c>
    </row>
    <row r="20" spans="1:8" x14ac:dyDescent="0.15">
      <c r="A20" s="50" t="s">
        <v>101</v>
      </c>
      <c r="B20" s="50" t="s">
        <v>315</v>
      </c>
      <c r="C20" s="50" t="s">
        <v>102</v>
      </c>
      <c r="D20" s="21">
        <f>E17+1</f>
        <v>1</v>
      </c>
      <c r="E20" s="21">
        <f>D20</f>
        <v>1</v>
      </c>
      <c r="H20" s="22">
        <v>0</v>
      </c>
    </row>
    <row r="21" spans="1:8" x14ac:dyDescent="0.15">
      <c r="A21" s="50"/>
      <c r="B21" s="50"/>
      <c r="C21" s="27" t="s">
        <v>103</v>
      </c>
    </row>
    <row r="22" spans="1:8" x14ac:dyDescent="0.15">
      <c r="A22" s="50"/>
      <c r="B22" s="50"/>
      <c r="C22" s="27" t="s">
        <v>104</v>
      </c>
    </row>
    <row r="24" spans="1:8" x14ac:dyDescent="0.15">
      <c r="A24" s="50" t="s">
        <v>105</v>
      </c>
      <c r="B24" s="50" t="s">
        <v>89</v>
      </c>
      <c r="C24" s="50" t="s">
        <v>352</v>
      </c>
      <c r="D24" s="21">
        <f>E20+1</f>
        <v>2</v>
      </c>
      <c r="E24" s="21">
        <f>D24+2</f>
        <v>4</v>
      </c>
      <c r="H24" s="22">
        <v>2650</v>
      </c>
    </row>
    <row r="25" spans="1:8" x14ac:dyDescent="0.15">
      <c r="A25" s="50"/>
      <c r="B25" s="50"/>
      <c r="C25" s="27" t="s">
        <v>319</v>
      </c>
    </row>
    <row r="26" spans="1:8" x14ac:dyDescent="0.15">
      <c r="A26" s="50"/>
      <c r="B26" s="50"/>
      <c r="C26" s="27" t="s">
        <v>320</v>
      </c>
    </row>
    <row r="27" spans="1:8" x14ac:dyDescent="0.15">
      <c r="A27" s="50"/>
      <c r="B27" s="50"/>
      <c r="C27" s="27" t="s">
        <v>317</v>
      </c>
    </row>
    <row r="28" spans="1:8" x14ac:dyDescent="0.15">
      <c r="A28" s="50"/>
      <c r="B28" s="50"/>
      <c r="C28" s="27" t="s">
        <v>318</v>
      </c>
    </row>
    <row r="29" spans="1:8" x14ac:dyDescent="0.15">
      <c r="A29" s="50"/>
      <c r="B29" s="50"/>
      <c r="C29" s="27" t="s">
        <v>321</v>
      </c>
    </row>
    <row r="30" spans="1:8" x14ac:dyDescent="0.15">
      <c r="A30" s="50"/>
      <c r="B30" s="50"/>
      <c r="C30" s="27" t="s">
        <v>322</v>
      </c>
    </row>
    <row r="31" spans="1:8" x14ac:dyDescent="0.15">
      <c r="A31" s="50"/>
      <c r="B31" s="50"/>
      <c r="C31" s="27" t="s">
        <v>323</v>
      </c>
    </row>
    <row r="32" spans="1:8" x14ac:dyDescent="0.15">
      <c r="A32" s="50"/>
      <c r="B32" s="50"/>
      <c r="C32" s="27"/>
    </row>
    <row r="33" spans="1:8" x14ac:dyDescent="0.15">
      <c r="A33" s="71"/>
      <c r="B33" s="71"/>
      <c r="C33" s="27"/>
    </row>
    <row r="34" spans="1:8" x14ac:dyDescent="0.15">
      <c r="A34" s="50" t="s">
        <v>106</v>
      </c>
      <c r="B34" s="50" t="s">
        <v>316</v>
      </c>
      <c r="C34" s="50" t="s">
        <v>107</v>
      </c>
      <c r="H34" s="22">
        <v>0</v>
      </c>
    </row>
    <row r="35" spans="1:8" x14ac:dyDescent="0.15">
      <c r="A35" s="50"/>
      <c r="B35" s="50"/>
      <c r="C35" s="27" t="s">
        <v>108</v>
      </c>
    </row>
    <row r="36" spans="1:8" x14ac:dyDescent="0.15">
      <c r="A36" s="50"/>
      <c r="B36" s="50"/>
      <c r="C36" s="27" t="s">
        <v>109</v>
      </c>
    </row>
    <row r="38" spans="1:8" x14ac:dyDescent="0.15">
      <c r="A38" s="50" t="s">
        <v>110</v>
      </c>
      <c r="B38" s="50" t="s">
        <v>324</v>
      </c>
      <c r="C38" s="50" t="s">
        <v>111</v>
      </c>
      <c r="H38" s="22">
        <v>0</v>
      </c>
    </row>
    <row r="39" spans="1:8" x14ac:dyDescent="0.15">
      <c r="A39" s="50"/>
      <c r="B39" s="50"/>
      <c r="C39" s="27" t="s">
        <v>112</v>
      </c>
    </row>
    <row r="40" spans="1:8" x14ac:dyDescent="0.15">
      <c r="A40" s="50"/>
      <c r="B40" s="50"/>
      <c r="C40" s="27" t="s">
        <v>113</v>
      </c>
    </row>
    <row r="42" spans="1:8" x14ac:dyDescent="0.15">
      <c r="A42" s="50" t="s">
        <v>114</v>
      </c>
      <c r="B42" s="50" t="s">
        <v>89</v>
      </c>
      <c r="C42" s="50" t="s">
        <v>332</v>
      </c>
    </row>
    <row r="43" spans="1:8" x14ac:dyDescent="0.15">
      <c r="A43" s="50"/>
      <c r="B43" s="50"/>
      <c r="C43" s="27" t="s">
        <v>115</v>
      </c>
    </row>
    <row r="44" spans="1:8" x14ac:dyDescent="0.15">
      <c r="A44" s="50"/>
      <c r="B44" s="50"/>
      <c r="C44" s="27" t="s">
        <v>325</v>
      </c>
    </row>
    <row r="45" spans="1:8" ht="26" x14ac:dyDescent="0.15">
      <c r="A45" s="50"/>
      <c r="B45" s="50"/>
      <c r="C45" s="27" t="s">
        <v>330</v>
      </c>
      <c r="H45" s="22">
        <v>1550</v>
      </c>
    </row>
    <row r="46" spans="1:8" x14ac:dyDescent="0.15">
      <c r="A46" s="50"/>
      <c r="B46" s="50"/>
      <c r="C46" s="27" t="s">
        <v>326</v>
      </c>
      <c r="H46" s="22">
        <v>1650</v>
      </c>
    </row>
    <row r="47" spans="1:8" x14ac:dyDescent="0.15">
      <c r="A47" s="50"/>
      <c r="B47" s="50"/>
      <c r="C47" s="27" t="s">
        <v>327</v>
      </c>
      <c r="H47" s="22">
        <v>3140</v>
      </c>
    </row>
    <row r="48" spans="1:8" x14ac:dyDescent="0.15">
      <c r="A48" s="50"/>
      <c r="B48" s="50"/>
      <c r="C48" s="27" t="s">
        <v>328</v>
      </c>
      <c r="H48" s="22">
        <v>590</v>
      </c>
    </row>
    <row r="49" spans="1:8" x14ac:dyDescent="0.15">
      <c r="A49" s="50"/>
      <c r="B49" s="50"/>
      <c r="C49" s="27" t="s">
        <v>329</v>
      </c>
      <c r="H49" s="22">
        <v>920</v>
      </c>
    </row>
    <row r="50" spans="1:8" x14ac:dyDescent="0.15">
      <c r="A50" s="50"/>
      <c r="B50" s="50"/>
      <c r="C50" s="27" t="s">
        <v>116</v>
      </c>
    </row>
    <row r="52" spans="1:8" ht="26" x14ac:dyDescent="0.15">
      <c r="A52" s="50" t="s">
        <v>331</v>
      </c>
      <c r="B52" s="50" t="s">
        <v>89</v>
      </c>
      <c r="C52" s="50" t="s">
        <v>333</v>
      </c>
      <c r="H52" s="22">
        <v>1150</v>
      </c>
    </row>
    <row r="54" spans="1:8" x14ac:dyDescent="0.15">
      <c r="A54" s="10" t="s">
        <v>66</v>
      </c>
      <c r="H54" s="22">
        <f>SUM(H12:H53)*5%</f>
        <v>582.5</v>
      </c>
    </row>
    <row r="56" spans="1:8" x14ac:dyDescent="0.15">
      <c r="A56" s="50" t="s">
        <v>68</v>
      </c>
      <c r="B56" s="50" t="s">
        <v>69</v>
      </c>
      <c r="C56" s="50" t="s">
        <v>70</v>
      </c>
    </row>
    <row r="57" spans="1:8" x14ac:dyDescent="0.15">
      <c r="A57" s="50"/>
      <c r="B57" s="50" t="s">
        <v>69</v>
      </c>
      <c r="C57" s="50" t="s">
        <v>71</v>
      </c>
    </row>
    <row r="58" spans="1:8" x14ac:dyDescent="0.15">
      <c r="A58" s="50"/>
      <c r="B58" s="50" t="s">
        <v>69</v>
      </c>
      <c r="C58" s="50" t="s">
        <v>72</v>
      </c>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Layout" topLeftCell="A10" workbookViewId="0">
      <selection activeCell="A32" sqref="A32"/>
    </sheetView>
  </sheetViews>
  <sheetFormatPr baseColWidth="10" defaultColWidth="11" defaultRowHeight="13" x14ac:dyDescent="0.15"/>
  <cols>
    <col min="1" max="1" width="13.19921875" style="32" customWidth="1"/>
    <col min="2" max="2" width="20.796875" style="32" customWidth="1"/>
    <col min="3" max="3" width="49" style="32" customWidth="1"/>
    <col min="4" max="7" width="11" style="21"/>
    <col min="8" max="9" width="11" style="22"/>
    <col min="10" max="16384" width="11" style="23"/>
  </cols>
  <sheetData>
    <row r="1" spans="1:9" ht="19" x14ac:dyDescent="0.15">
      <c r="A1" s="20" t="s">
        <v>117</v>
      </c>
      <c r="B1" s="50"/>
      <c r="C1" s="50"/>
    </row>
    <row r="2" spans="1:9" ht="15" x14ac:dyDescent="0.15">
      <c r="A2" s="26" t="s">
        <v>50</v>
      </c>
      <c r="B2" s="50" t="str">
        <f ca="1">Project_Name</f>
        <v>Road Runner-2017</v>
      </c>
      <c r="C2" s="50"/>
    </row>
    <row r="3" spans="1:9" ht="15" x14ac:dyDescent="0.15">
      <c r="A3" s="26" t="s">
        <v>51</v>
      </c>
      <c r="B3" s="50" t="s">
        <v>118</v>
      </c>
      <c r="C3" s="50"/>
    </row>
    <row r="4" spans="1:9" x14ac:dyDescent="0.15">
      <c r="A4" s="50"/>
      <c r="B4" s="50"/>
      <c r="C4" s="50"/>
      <c r="D4" s="18"/>
      <c r="E4" s="18"/>
      <c r="F4" s="18"/>
    </row>
    <row r="5" spans="1:9" ht="14" customHeight="1" x14ac:dyDescent="0.15">
      <c r="A5" s="23" t="s">
        <v>119</v>
      </c>
      <c r="B5" s="50"/>
      <c r="C5" s="50"/>
      <c r="D5" s="50"/>
      <c r="E5" s="50"/>
      <c r="F5" s="50"/>
      <c r="G5" s="50"/>
    </row>
    <row r="6" spans="1:9" x14ac:dyDescent="0.15">
      <c r="A6" s="23" t="s">
        <v>120</v>
      </c>
      <c r="B6" s="50"/>
      <c r="C6" s="50"/>
      <c r="D6" s="50"/>
      <c r="E6" s="50"/>
      <c r="F6" s="50"/>
      <c r="G6" s="50"/>
    </row>
    <row r="7" spans="1:9" x14ac:dyDescent="0.15">
      <c r="A7" s="23"/>
      <c r="B7" s="50"/>
      <c r="C7" s="50"/>
      <c r="D7" s="50"/>
      <c r="E7" s="50"/>
      <c r="F7" s="50"/>
      <c r="G7" s="50"/>
    </row>
    <row r="8" spans="1:9" x14ac:dyDescent="0.15">
      <c r="A8" s="23" t="s">
        <v>75</v>
      </c>
      <c r="B8" s="50"/>
      <c r="C8" s="50"/>
      <c r="D8" s="50"/>
      <c r="E8" s="50"/>
      <c r="F8" s="50"/>
      <c r="G8" s="50"/>
    </row>
    <row r="9" spans="1:9" x14ac:dyDescent="0.15">
      <c r="A9" s="23" t="s">
        <v>76</v>
      </c>
      <c r="B9" s="50"/>
      <c r="C9" s="50"/>
      <c r="D9" s="50"/>
      <c r="E9" s="50"/>
      <c r="F9" s="50"/>
      <c r="G9" s="50"/>
    </row>
    <row r="11" spans="1:9" s="14" customFormat="1" ht="30" x14ac:dyDescent="0.2">
      <c r="A11" s="15" t="s">
        <v>53</v>
      </c>
      <c r="B11" s="15" t="s">
        <v>54</v>
      </c>
      <c r="C11" s="15" t="s">
        <v>55</v>
      </c>
      <c r="D11" s="19" t="s">
        <v>33</v>
      </c>
      <c r="E11" s="19" t="s">
        <v>56</v>
      </c>
      <c r="F11" s="19" t="s">
        <v>57</v>
      </c>
      <c r="G11" s="19" t="s">
        <v>58</v>
      </c>
      <c r="H11" s="17" t="s">
        <v>59</v>
      </c>
      <c r="I11" s="17" t="s">
        <v>60</v>
      </c>
    </row>
    <row r="12" spans="1:9" x14ac:dyDescent="0.15">
      <c r="A12" s="50" t="s">
        <v>121</v>
      </c>
      <c r="B12" s="50" t="s">
        <v>89</v>
      </c>
      <c r="C12" s="50" t="s">
        <v>122</v>
      </c>
      <c r="H12" s="22">
        <v>200</v>
      </c>
    </row>
    <row r="13" spans="1:9" x14ac:dyDescent="0.15">
      <c r="A13" s="50"/>
      <c r="B13" s="50"/>
      <c r="C13" s="27" t="s">
        <v>123</v>
      </c>
    </row>
    <row r="14" spans="1:9" x14ac:dyDescent="0.15">
      <c r="A14" s="50"/>
      <c r="B14" s="50"/>
      <c r="C14" s="27"/>
    </row>
    <row r="15" spans="1:9" ht="26" x14ac:dyDescent="0.15">
      <c r="A15" s="50" t="s">
        <v>124</v>
      </c>
      <c r="B15" s="50" t="s">
        <v>89</v>
      </c>
      <c r="C15" s="33" t="s">
        <v>125</v>
      </c>
      <c r="H15" s="22">
        <f>SUM(H16:H21)</f>
        <v>200</v>
      </c>
      <c r="I15" s="22">
        <f>SUM(I16:I21)</f>
        <v>0</v>
      </c>
    </row>
    <row r="16" spans="1:9" x14ac:dyDescent="0.15">
      <c r="A16" s="50"/>
      <c r="B16" s="50"/>
      <c r="C16" s="27" t="s">
        <v>126</v>
      </c>
      <c r="H16" s="22">
        <f>5*15</f>
        <v>75</v>
      </c>
    </row>
    <row r="17" spans="1:9" x14ac:dyDescent="0.15">
      <c r="A17" s="50"/>
      <c r="B17" s="50"/>
      <c r="C17" s="27" t="s">
        <v>334</v>
      </c>
      <c r="H17" s="22">
        <f>3*25</f>
        <v>75</v>
      </c>
    </row>
    <row r="18" spans="1:9" x14ac:dyDescent="0.15">
      <c r="A18" s="50"/>
      <c r="B18" s="50"/>
      <c r="C18" s="39" t="s">
        <v>127</v>
      </c>
    </row>
    <row r="19" spans="1:9" x14ac:dyDescent="0.15">
      <c r="A19" s="50"/>
      <c r="B19" s="50"/>
      <c r="C19" s="39" t="s">
        <v>128</v>
      </c>
    </row>
    <row r="20" spans="1:9" x14ac:dyDescent="0.15">
      <c r="A20" s="50"/>
      <c r="B20" s="50"/>
      <c r="C20" s="39" t="s">
        <v>129</v>
      </c>
    </row>
    <row r="21" spans="1:9" x14ac:dyDescent="0.15">
      <c r="A21" s="50"/>
      <c r="B21" s="50"/>
      <c r="C21" s="27" t="s">
        <v>130</v>
      </c>
      <c r="H21" s="22">
        <v>50</v>
      </c>
    </row>
    <row r="23" spans="1:9" x14ac:dyDescent="0.15">
      <c r="A23" s="50" t="s">
        <v>131</v>
      </c>
      <c r="B23" s="50" t="s">
        <v>132</v>
      </c>
      <c r="C23" s="50" t="s">
        <v>133</v>
      </c>
      <c r="H23" s="22">
        <f>SUM(H24:H25)</f>
        <v>150</v>
      </c>
      <c r="I23" s="22">
        <f>SUM(I24:I25)</f>
        <v>0</v>
      </c>
    </row>
    <row r="24" spans="1:9" x14ac:dyDescent="0.15">
      <c r="A24" s="50"/>
      <c r="B24" s="50"/>
      <c r="C24" s="27" t="s">
        <v>134</v>
      </c>
      <c r="H24" s="22">
        <v>100</v>
      </c>
    </row>
    <row r="25" spans="1:9" x14ac:dyDescent="0.15">
      <c r="A25" s="50"/>
      <c r="B25" s="50"/>
      <c r="C25" s="27" t="s">
        <v>135</v>
      </c>
      <c r="H25" s="22">
        <v>50</v>
      </c>
    </row>
    <row r="26" spans="1:9" x14ac:dyDescent="0.15">
      <c r="A26" s="50"/>
      <c r="B26" s="50"/>
      <c r="C26" s="27"/>
    </row>
    <row r="27" spans="1:9" x14ac:dyDescent="0.15">
      <c r="A27" s="50"/>
      <c r="B27" s="50"/>
      <c r="C27" s="27"/>
    </row>
    <row r="28" spans="1:9" x14ac:dyDescent="0.15">
      <c r="A28" s="50" t="s">
        <v>136</v>
      </c>
      <c r="B28" s="50" t="s">
        <v>132</v>
      </c>
      <c r="C28" s="71" t="s">
        <v>302</v>
      </c>
      <c r="H28" s="22">
        <v>1270</v>
      </c>
    </row>
    <row r="29" spans="1:9" ht="26" x14ac:dyDescent="0.15">
      <c r="A29" s="50"/>
      <c r="B29" s="50"/>
      <c r="C29" s="71" t="s">
        <v>307</v>
      </c>
      <c r="H29" s="22">
        <v>2150</v>
      </c>
    </row>
    <row r="30" spans="1:9" x14ac:dyDescent="0.15">
      <c r="A30" s="50"/>
      <c r="B30" s="50"/>
      <c r="C30" s="71" t="s">
        <v>64</v>
      </c>
      <c r="H30" s="22" t="s">
        <v>303</v>
      </c>
    </row>
    <row r="31" spans="1:9" x14ac:dyDescent="0.15">
      <c r="A31" s="50"/>
      <c r="B31" s="50"/>
      <c r="C31" s="27"/>
    </row>
    <row r="32" spans="1:9" x14ac:dyDescent="0.15">
      <c r="A32" s="50" t="s">
        <v>137</v>
      </c>
      <c r="B32" s="50" t="s">
        <v>316</v>
      </c>
      <c r="C32" s="33" t="s">
        <v>138</v>
      </c>
      <c r="H32" s="22">
        <v>0</v>
      </c>
    </row>
    <row r="33" spans="1:9" x14ac:dyDescent="0.15">
      <c r="A33" s="50"/>
      <c r="B33" s="50"/>
      <c r="C33" s="27" t="s">
        <v>139</v>
      </c>
    </row>
    <row r="34" spans="1:9" x14ac:dyDescent="0.15">
      <c r="A34" s="50"/>
      <c r="B34" s="50"/>
      <c r="C34" s="27" t="s">
        <v>140</v>
      </c>
    </row>
    <row r="35" spans="1:9" x14ac:dyDescent="0.15">
      <c r="A35" s="50"/>
      <c r="B35" s="50"/>
      <c r="C35" s="27" t="s">
        <v>141</v>
      </c>
    </row>
    <row r="36" spans="1:9" x14ac:dyDescent="0.15">
      <c r="A36" s="50"/>
      <c r="B36" s="50"/>
      <c r="C36" s="27" t="s">
        <v>142</v>
      </c>
    </row>
    <row r="37" spans="1:9" x14ac:dyDescent="0.15">
      <c r="A37" s="50"/>
      <c r="B37" s="50"/>
      <c r="C37" s="27"/>
    </row>
    <row r="38" spans="1:9" x14ac:dyDescent="0.15">
      <c r="A38" s="50" t="s">
        <v>66</v>
      </c>
      <c r="B38" s="50"/>
      <c r="C38" s="27"/>
      <c r="H38" s="22">
        <f>SUM(H12:H37)*5%</f>
        <v>216</v>
      </c>
    </row>
    <row r="39" spans="1:9" x14ac:dyDescent="0.15">
      <c r="A39" s="72"/>
      <c r="B39" s="72"/>
      <c r="C39" s="27"/>
    </row>
    <row r="40" spans="1:9" x14ac:dyDescent="0.15">
      <c r="A40" s="72"/>
      <c r="B40" s="72"/>
      <c r="C40" s="27"/>
    </row>
    <row r="41" spans="1:9" x14ac:dyDescent="0.15">
      <c r="A41" s="72"/>
      <c r="B41" s="72"/>
      <c r="C41" s="27"/>
    </row>
    <row r="42" spans="1:9" x14ac:dyDescent="0.15">
      <c r="A42" s="72"/>
      <c r="B42" s="72"/>
      <c r="C42" s="27"/>
    </row>
    <row r="43" spans="1:9" s="21" customFormat="1" x14ac:dyDescent="0.15">
      <c r="A43" s="50" t="s">
        <v>68</v>
      </c>
      <c r="B43" s="50" t="s">
        <v>69</v>
      </c>
      <c r="C43" s="50" t="s">
        <v>70</v>
      </c>
      <c r="H43" s="22"/>
      <c r="I43" s="22"/>
    </row>
    <row r="44" spans="1:9" s="21" customFormat="1" x14ac:dyDescent="0.15">
      <c r="A44" s="50"/>
      <c r="B44" s="50" t="s">
        <v>69</v>
      </c>
      <c r="C44" s="50" t="s">
        <v>71</v>
      </c>
      <c r="H44" s="22"/>
      <c r="I44" s="22"/>
    </row>
    <row r="45" spans="1:9" s="21" customFormat="1" x14ac:dyDescent="0.15">
      <c r="A45" s="50"/>
      <c r="B45" s="50" t="s">
        <v>69</v>
      </c>
      <c r="C45" s="50" t="s">
        <v>72</v>
      </c>
      <c r="H45" s="22"/>
      <c r="I45" s="22"/>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rowBreaks count="1" manualBreakCount="1">
    <brk id="31" max="16383" man="1"/>
  </rowBreaks>
  <drawing r:id="rId1"/>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Layout" workbookViewId="0">
      <selection activeCell="H19" sqref="H19"/>
    </sheetView>
  </sheetViews>
  <sheetFormatPr baseColWidth="10" defaultColWidth="11" defaultRowHeight="13" x14ac:dyDescent="0.15"/>
  <cols>
    <col min="1" max="1" width="13.19921875" style="32" customWidth="1"/>
    <col min="2" max="2" width="20.796875" style="32" customWidth="1"/>
    <col min="3" max="3" width="49" style="32" customWidth="1"/>
    <col min="4" max="7" width="11" style="21"/>
    <col min="8" max="9" width="11" style="22"/>
    <col min="10" max="16384" width="11" style="23"/>
  </cols>
  <sheetData>
    <row r="1" spans="1:9" ht="19" x14ac:dyDescent="0.15">
      <c r="A1" s="20" t="s">
        <v>143</v>
      </c>
      <c r="B1" s="50"/>
      <c r="C1" s="50"/>
    </row>
    <row r="2" spans="1:9" ht="15" x14ac:dyDescent="0.15">
      <c r="A2" s="26" t="s">
        <v>50</v>
      </c>
      <c r="B2" s="50" t="str">
        <f ca="1">Project_Name</f>
        <v>Road Runner-2017</v>
      </c>
      <c r="C2" s="50"/>
    </row>
    <row r="3" spans="1:9" ht="15" x14ac:dyDescent="0.15">
      <c r="A3" s="26" t="s">
        <v>51</v>
      </c>
      <c r="B3" s="50" t="s">
        <v>144</v>
      </c>
      <c r="C3" s="50"/>
    </row>
    <row r="4" spans="1:9" x14ac:dyDescent="0.15">
      <c r="A4" s="50"/>
      <c r="B4" s="50"/>
      <c r="C4" s="50"/>
      <c r="D4" s="18"/>
      <c r="E4" s="18"/>
      <c r="F4" s="18"/>
    </row>
    <row r="5" spans="1:9" ht="14" customHeight="1" x14ac:dyDescent="0.15">
      <c r="A5" s="23" t="s">
        <v>119</v>
      </c>
      <c r="B5" s="50"/>
      <c r="C5" s="50"/>
      <c r="D5" s="50"/>
      <c r="E5" s="50"/>
      <c r="F5" s="50"/>
      <c r="G5" s="50"/>
    </row>
    <row r="6" spans="1:9" x14ac:dyDescent="0.15">
      <c r="A6" s="23" t="s">
        <v>120</v>
      </c>
      <c r="B6" s="50"/>
      <c r="C6" s="50"/>
      <c r="D6" s="50"/>
      <c r="E6" s="50"/>
      <c r="F6" s="50"/>
      <c r="G6" s="50"/>
    </row>
    <row r="7" spans="1:9" x14ac:dyDescent="0.15">
      <c r="A7" s="23"/>
      <c r="B7" s="50"/>
      <c r="C7" s="50"/>
      <c r="D7" s="50"/>
      <c r="E7" s="50"/>
      <c r="F7" s="50"/>
      <c r="G7" s="50"/>
    </row>
    <row r="8" spans="1:9" x14ac:dyDescent="0.15">
      <c r="A8" s="23" t="s">
        <v>75</v>
      </c>
      <c r="B8" s="50"/>
      <c r="C8" s="50"/>
      <c r="D8" s="50"/>
      <c r="E8" s="50"/>
      <c r="F8" s="50"/>
      <c r="G8" s="50"/>
    </row>
    <row r="9" spans="1:9" x14ac:dyDescent="0.15">
      <c r="A9" s="23" t="s">
        <v>76</v>
      </c>
      <c r="B9" s="50"/>
      <c r="C9" s="50"/>
      <c r="D9" s="50"/>
      <c r="E9" s="50"/>
      <c r="F9" s="50"/>
      <c r="G9" s="50"/>
    </row>
    <row r="11" spans="1:9" s="14" customFormat="1" ht="30" x14ac:dyDescent="0.2">
      <c r="A11" s="15" t="s">
        <v>53</v>
      </c>
      <c r="B11" s="15" t="s">
        <v>54</v>
      </c>
      <c r="C11" s="15" t="s">
        <v>55</v>
      </c>
      <c r="D11" s="19" t="s">
        <v>33</v>
      </c>
      <c r="E11" s="19" t="s">
        <v>56</v>
      </c>
      <c r="F11" s="19" t="s">
        <v>57</v>
      </c>
      <c r="G11" s="19" t="s">
        <v>58</v>
      </c>
      <c r="H11" s="17" t="s">
        <v>59</v>
      </c>
      <c r="I11" s="17" t="s">
        <v>60</v>
      </c>
    </row>
    <row r="12" spans="1:9" x14ac:dyDescent="0.15">
      <c r="A12" s="23" t="s">
        <v>145</v>
      </c>
      <c r="B12" s="50" t="s">
        <v>132</v>
      </c>
      <c r="C12" s="50" t="s">
        <v>146</v>
      </c>
      <c r="H12" s="22">
        <f>SUM(H13:H19)</f>
        <v>3183.5</v>
      </c>
      <c r="I12" s="22">
        <f>SUM(I13:I19)</f>
        <v>0</v>
      </c>
    </row>
    <row r="13" spans="1:9" x14ac:dyDescent="0.15">
      <c r="A13" s="50"/>
      <c r="B13" s="50"/>
      <c r="C13" s="27" t="s">
        <v>147</v>
      </c>
      <c r="H13" s="22">
        <f>(E:E-D:D)*200</f>
        <v>0</v>
      </c>
    </row>
    <row r="14" spans="1:9" x14ac:dyDescent="0.15">
      <c r="A14" s="50"/>
      <c r="B14" s="50"/>
      <c r="C14" s="27" t="s">
        <v>336</v>
      </c>
      <c r="H14" s="22">
        <v>870</v>
      </c>
    </row>
    <row r="15" spans="1:9" x14ac:dyDescent="0.15">
      <c r="A15" s="50"/>
      <c r="B15" s="50"/>
      <c r="C15" s="27" t="s">
        <v>148</v>
      </c>
      <c r="H15" s="22">
        <f>(E:E-D:D)*200</f>
        <v>0</v>
      </c>
    </row>
    <row r="16" spans="1:9" ht="26" x14ac:dyDescent="0.15">
      <c r="A16" s="50"/>
      <c r="B16" s="50"/>
      <c r="C16" s="27" t="s">
        <v>149</v>
      </c>
      <c r="H16" s="22">
        <v>1438.5</v>
      </c>
    </row>
    <row r="17" spans="1:9" x14ac:dyDescent="0.15">
      <c r="A17" s="50"/>
      <c r="B17" s="50"/>
      <c r="C17" s="27" t="s">
        <v>337</v>
      </c>
      <c r="H17" s="22">
        <v>350</v>
      </c>
    </row>
    <row r="18" spans="1:9" x14ac:dyDescent="0.15">
      <c r="A18" s="72"/>
      <c r="B18" s="72"/>
      <c r="C18" s="27" t="s">
        <v>349</v>
      </c>
      <c r="H18" s="22">
        <v>425</v>
      </c>
    </row>
    <row r="19" spans="1:9" x14ac:dyDescent="0.15">
      <c r="A19" s="50"/>
      <c r="B19" s="50"/>
      <c r="C19" s="27" t="s">
        <v>150</v>
      </c>
      <c r="H19" s="22">
        <v>100</v>
      </c>
    </row>
    <row r="20" spans="1:9" x14ac:dyDescent="0.15">
      <c r="A20" s="50"/>
      <c r="B20" s="50"/>
      <c r="C20" s="27"/>
    </row>
    <row r="21" spans="1:9" x14ac:dyDescent="0.15">
      <c r="A21" s="50" t="s">
        <v>151</v>
      </c>
      <c r="B21" s="50" t="s">
        <v>132</v>
      </c>
      <c r="C21" s="33" t="s">
        <v>152</v>
      </c>
    </row>
    <row r="22" spans="1:9" x14ac:dyDescent="0.15">
      <c r="A22" s="50"/>
      <c r="B22" s="50"/>
      <c r="C22" s="27"/>
    </row>
    <row r="23" spans="1:9" x14ac:dyDescent="0.15">
      <c r="A23" s="50" t="s">
        <v>66</v>
      </c>
      <c r="B23" s="50" t="s">
        <v>335</v>
      </c>
      <c r="C23" s="33" t="s">
        <v>335</v>
      </c>
      <c r="H23" s="22">
        <f>SUM(H12:H22)*5%</f>
        <v>318.35000000000002</v>
      </c>
    </row>
    <row r="24" spans="1:9" s="21" customFormat="1" x14ac:dyDescent="0.15">
      <c r="A24" s="50" t="s">
        <v>68</v>
      </c>
      <c r="B24" s="50" t="s">
        <v>69</v>
      </c>
      <c r="C24" s="50" t="s">
        <v>70</v>
      </c>
      <c r="H24" s="22"/>
      <c r="I24" s="22"/>
    </row>
    <row r="25" spans="1:9" s="21" customFormat="1" x14ac:dyDescent="0.15">
      <c r="A25" s="50"/>
      <c r="B25" s="50" t="s">
        <v>69</v>
      </c>
      <c r="C25" s="50" t="s">
        <v>71</v>
      </c>
      <c r="H25" s="22"/>
      <c r="I25" s="22"/>
    </row>
    <row r="26" spans="1:9" s="21" customFormat="1" x14ac:dyDescent="0.15">
      <c r="A26" s="50"/>
      <c r="B26" s="50" t="s">
        <v>69</v>
      </c>
      <c r="C26" s="50" t="s">
        <v>72</v>
      </c>
      <c r="H26" s="22"/>
      <c r="I26" s="22"/>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topLeftCell="A10" workbookViewId="0">
      <selection activeCell="C28" sqref="C28"/>
    </sheetView>
  </sheetViews>
  <sheetFormatPr baseColWidth="10" defaultColWidth="11" defaultRowHeight="13" x14ac:dyDescent="0.15"/>
  <cols>
    <col min="1" max="1" width="13.19921875" style="34" customWidth="1"/>
    <col min="2" max="2" width="20.796875" style="34" customWidth="1"/>
    <col min="3" max="3" width="49" style="34" customWidth="1"/>
    <col min="4" max="7" width="11" style="21"/>
    <col min="8" max="9" width="11" style="22"/>
    <col min="10" max="16384" width="11" style="23"/>
  </cols>
  <sheetData>
    <row r="1" spans="1:9" ht="19" x14ac:dyDescent="0.15">
      <c r="A1" s="20" t="s">
        <v>153</v>
      </c>
      <c r="B1" s="50"/>
      <c r="C1" s="50"/>
    </row>
    <row r="2" spans="1:9" ht="15" x14ac:dyDescent="0.15">
      <c r="A2" s="26" t="s">
        <v>50</v>
      </c>
      <c r="B2" s="50" t="str">
        <f ca="1">Project_Name</f>
        <v>Road Runner-2017</v>
      </c>
      <c r="C2" s="50"/>
    </row>
    <row r="3" spans="1:9" ht="15" x14ac:dyDescent="0.15">
      <c r="A3" s="26" t="s">
        <v>51</v>
      </c>
      <c r="B3" s="50" t="s">
        <v>154</v>
      </c>
      <c r="C3" s="50" t="s">
        <v>155</v>
      </c>
    </row>
    <row r="4" spans="1:9" x14ac:dyDescent="0.15">
      <c r="A4" s="50"/>
      <c r="B4" s="50"/>
      <c r="C4" s="50"/>
      <c r="D4" s="18"/>
      <c r="E4" s="18"/>
      <c r="F4" s="18"/>
    </row>
    <row r="5" spans="1:9" ht="14" customHeight="1" x14ac:dyDescent="0.15">
      <c r="A5" s="23" t="s">
        <v>156</v>
      </c>
      <c r="B5" s="50"/>
      <c r="C5" s="50"/>
      <c r="D5" s="50"/>
      <c r="E5" s="50"/>
      <c r="F5" s="50"/>
      <c r="G5" s="50"/>
    </row>
    <row r="6" spans="1:9" x14ac:dyDescent="0.15">
      <c r="A6" s="23" t="s">
        <v>157</v>
      </c>
      <c r="B6" s="50"/>
      <c r="C6" s="50"/>
      <c r="D6" s="50"/>
      <c r="E6" s="50"/>
      <c r="F6" s="50"/>
      <c r="G6" s="50"/>
    </row>
    <row r="7" spans="1:9" x14ac:dyDescent="0.15">
      <c r="A7" s="23"/>
      <c r="B7" s="50"/>
      <c r="C7" s="50"/>
      <c r="D7" s="50"/>
      <c r="E7" s="50"/>
      <c r="F7" s="50"/>
      <c r="G7" s="50"/>
    </row>
    <row r="8" spans="1:9" x14ac:dyDescent="0.15">
      <c r="A8" s="23" t="s">
        <v>75</v>
      </c>
      <c r="B8" s="50"/>
      <c r="C8" s="50"/>
      <c r="D8" s="50"/>
      <c r="E8" s="50"/>
      <c r="F8" s="50"/>
      <c r="G8" s="50"/>
    </row>
    <row r="9" spans="1:9" x14ac:dyDescent="0.15">
      <c r="A9" s="23" t="s">
        <v>76</v>
      </c>
      <c r="B9" s="50"/>
      <c r="C9" s="50"/>
      <c r="D9" s="50"/>
      <c r="E9" s="50"/>
      <c r="F9" s="50"/>
      <c r="G9" s="50"/>
    </row>
    <row r="11" spans="1:9" s="14" customFormat="1" ht="30" x14ac:dyDescent="0.2">
      <c r="A11" s="15" t="s">
        <v>53</v>
      </c>
      <c r="B11" s="15" t="s">
        <v>54</v>
      </c>
      <c r="C11" s="15" t="s">
        <v>55</v>
      </c>
      <c r="D11" s="19" t="s">
        <v>33</v>
      </c>
      <c r="E11" s="19" t="s">
        <v>56</v>
      </c>
      <c r="F11" s="19" t="s">
        <v>57</v>
      </c>
      <c r="G11" s="19" t="s">
        <v>58</v>
      </c>
      <c r="H11" s="17" t="s">
        <v>59</v>
      </c>
      <c r="I11" s="17" t="s">
        <v>60</v>
      </c>
    </row>
    <row r="12" spans="1:9" x14ac:dyDescent="0.15">
      <c r="A12" s="23" t="s">
        <v>158</v>
      </c>
      <c r="B12" s="50" t="s">
        <v>132</v>
      </c>
      <c r="C12" s="50" t="s">
        <v>159</v>
      </c>
      <c r="D12" s="21">
        <f>Start_Date</f>
        <v>42859</v>
      </c>
      <c r="E12" s="21">
        <f>D12+15</f>
        <v>42874</v>
      </c>
      <c r="H12" s="22">
        <v>300</v>
      </c>
    </row>
    <row r="13" spans="1:9" x14ac:dyDescent="0.15">
      <c r="A13" s="50"/>
      <c r="B13" s="50"/>
      <c r="C13" s="27"/>
    </row>
    <row r="14" spans="1:9" ht="26" x14ac:dyDescent="0.15">
      <c r="A14" s="50" t="s">
        <v>160</v>
      </c>
      <c r="B14" s="50" t="s">
        <v>132</v>
      </c>
      <c r="C14" s="50" t="s">
        <v>338</v>
      </c>
      <c r="D14" s="21">
        <f>E12</f>
        <v>42874</v>
      </c>
      <c r="E14" s="21">
        <f>D14+1</f>
        <v>42875</v>
      </c>
      <c r="H14" s="22">
        <f>SUM(H15:H17)</f>
        <v>795</v>
      </c>
      <c r="I14" s="22">
        <f>SUM(I15:I17)</f>
        <v>0</v>
      </c>
    </row>
    <row r="15" spans="1:9" x14ac:dyDescent="0.15">
      <c r="A15" s="50"/>
      <c r="B15" s="50"/>
      <c r="C15" s="27" t="s">
        <v>161</v>
      </c>
      <c r="H15" s="22">
        <v>795</v>
      </c>
    </row>
    <row r="16" spans="1:9" x14ac:dyDescent="0.15">
      <c r="A16" s="50"/>
      <c r="B16" s="50"/>
      <c r="C16" s="27" t="s">
        <v>162</v>
      </c>
      <c r="H16" s="22">
        <v>0</v>
      </c>
    </row>
    <row r="17" spans="1:9" x14ac:dyDescent="0.15">
      <c r="A17" s="50"/>
      <c r="B17" s="50"/>
      <c r="C17" s="27" t="s">
        <v>163</v>
      </c>
      <c r="H17" s="22">
        <v>0</v>
      </c>
    </row>
    <row r="18" spans="1:9" x14ac:dyDescent="0.15">
      <c r="A18" s="50"/>
      <c r="B18" s="50"/>
      <c r="C18" s="27"/>
    </row>
    <row r="19" spans="1:9" x14ac:dyDescent="0.15">
      <c r="A19" s="50" t="s">
        <v>164</v>
      </c>
      <c r="B19" s="50" t="s">
        <v>339</v>
      </c>
      <c r="C19" s="33" t="s">
        <v>166</v>
      </c>
      <c r="D19" s="21">
        <f>D12</f>
        <v>42859</v>
      </c>
      <c r="E19" s="21">
        <f>D19+0.5</f>
        <v>42859.5</v>
      </c>
      <c r="H19" s="22">
        <v>0</v>
      </c>
      <c r="I19" s="22">
        <f>SUM(I20:I22)</f>
        <v>0</v>
      </c>
    </row>
    <row r="20" spans="1:9" x14ac:dyDescent="0.15">
      <c r="A20" s="50"/>
      <c r="B20" s="50"/>
      <c r="C20" s="27" t="s">
        <v>167</v>
      </c>
      <c r="H20" s="22">
        <v>0</v>
      </c>
    </row>
    <row r="21" spans="1:9" x14ac:dyDescent="0.15">
      <c r="A21" s="50"/>
      <c r="B21" s="50"/>
      <c r="C21" s="27" t="s">
        <v>168</v>
      </c>
      <c r="H21" s="22">
        <v>0</v>
      </c>
    </row>
    <row r="22" spans="1:9" x14ac:dyDescent="0.15">
      <c r="A22" s="50"/>
      <c r="B22" s="50"/>
      <c r="C22" s="33"/>
    </row>
    <row r="23" spans="1:9" x14ac:dyDescent="0.15">
      <c r="A23" s="23" t="s">
        <v>169</v>
      </c>
      <c r="B23" s="50" t="s">
        <v>165</v>
      </c>
      <c r="C23" s="23" t="s">
        <v>170</v>
      </c>
      <c r="D23" s="21">
        <f>E12+1</f>
        <v>42875</v>
      </c>
      <c r="E23" s="21">
        <f>D23+COUNTA(C24:C29)</f>
        <v>42880</v>
      </c>
      <c r="H23" s="22">
        <f>SUM(H24:H29)</f>
        <v>275</v>
      </c>
      <c r="I23" s="22">
        <f>SUM(I24:I29)</f>
        <v>0</v>
      </c>
    </row>
    <row r="24" spans="1:9" x14ac:dyDescent="0.15">
      <c r="A24" s="50"/>
      <c r="B24" s="50"/>
      <c r="C24" s="27" t="s">
        <v>171</v>
      </c>
      <c r="H24" s="22">
        <v>25</v>
      </c>
    </row>
    <row r="25" spans="1:9" ht="26" x14ac:dyDescent="0.15">
      <c r="A25" s="50"/>
      <c r="B25" s="50"/>
      <c r="C25" s="27" t="s">
        <v>172</v>
      </c>
      <c r="H25" s="22">
        <v>0</v>
      </c>
    </row>
    <row r="26" spans="1:9" ht="26" x14ac:dyDescent="0.15">
      <c r="A26" s="50"/>
      <c r="B26" s="50"/>
      <c r="C26" s="27" t="s">
        <v>173</v>
      </c>
      <c r="H26" s="22">
        <v>100</v>
      </c>
    </row>
    <row r="27" spans="1:9" ht="26" x14ac:dyDescent="0.15">
      <c r="A27" s="50"/>
      <c r="B27" s="50"/>
      <c r="C27" s="27" t="s">
        <v>174</v>
      </c>
      <c r="H27" s="22">
        <v>50</v>
      </c>
    </row>
    <row r="28" spans="1:9" ht="39" x14ac:dyDescent="0.15">
      <c r="A28" s="50"/>
      <c r="B28" s="50"/>
      <c r="C28" s="27" t="s">
        <v>175</v>
      </c>
      <c r="H28" s="22">
        <v>100</v>
      </c>
    </row>
    <row r="29" spans="1:9" x14ac:dyDescent="0.15">
      <c r="A29" s="50"/>
      <c r="B29" s="50"/>
      <c r="C29" s="27"/>
    </row>
    <row r="30" spans="1:9" ht="26" x14ac:dyDescent="0.15">
      <c r="A30" s="50" t="s">
        <v>176</v>
      </c>
      <c r="B30" s="50" t="s">
        <v>132</v>
      </c>
      <c r="C30" s="33" t="s">
        <v>177</v>
      </c>
      <c r="H30" s="22">
        <v>0</v>
      </c>
      <c r="I30" s="22">
        <v>0</v>
      </c>
    </row>
    <row r="31" spans="1:9" x14ac:dyDescent="0.15">
      <c r="A31" s="50" t="s">
        <v>66</v>
      </c>
      <c r="B31" s="50" t="s">
        <v>335</v>
      </c>
      <c r="C31" s="27" t="s">
        <v>335</v>
      </c>
      <c r="H31" s="22">
        <f>SUM(H12:H30)*5%</f>
        <v>122</v>
      </c>
    </row>
    <row r="32" spans="1:9" s="21" customFormat="1" x14ac:dyDescent="0.15">
      <c r="A32" s="50" t="s">
        <v>68</v>
      </c>
      <c r="B32" s="50" t="s">
        <v>69</v>
      </c>
      <c r="C32" s="50" t="s">
        <v>70</v>
      </c>
      <c r="H32" s="22"/>
      <c r="I32" s="22"/>
    </row>
    <row r="33" spans="1:9" s="21" customFormat="1" x14ac:dyDescent="0.15">
      <c r="A33" s="50"/>
      <c r="B33" s="50" t="s">
        <v>69</v>
      </c>
      <c r="C33" s="50" t="s">
        <v>71</v>
      </c>
      <c r="H33" s="22"/>
      <c r="I33" s="22"/>
    </row>
    <row r="34" spans="1:9" s="21" customFormat="1" x14ac:dyDescent="0.15">
      <c r="A34" s="50"/>
      <c r="B34" s="50" t="s">
        <v>69</v>
      </c>
      <c r="C34" s="50" t="s">
        <v>72</v>
      </c>
      <c r="H34" s="22"/>
      <c r="I34" s="22"/>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view="pageLayout" topLeftCell="A15" workbookViewId="0">
      <selection activeCell="H24" sqref="H24"/>
    </sheetView>
  </sheetViews>
  <sheetFormatPr baseColWidth="10" defaultColWidth="11" defaultRowHeight="13" x14ac:dyDescent="0.15"/>
  <cols>
    <col min="1" max="1" width="13.19921875" style="40" customWidth="1"/>
    <col min="2" max="2" width="20.796875" style="40" customWidth="1"/>
    <col min="3" max="3" width="49" style="40" customWidth="1"/>
    <col min="4" max="7" width="11" style="21"/>
    <col min="8" max="9" width="11" style="22"/>
    <col min="10" max="16384" width="11" style="23"/>
  </cols>
  <sheetData>
    <row r="1" spans="1:9" ht="19" x14ac:dyDescent="0.15">
      <c r="A1" s="20" t="s">
        <v>178</v>
      </c>
      <c r="B1" s="50"/>
      <c r="C1" s="50"/>
    </row>
    <row r="2" spans="1:9" ht="15" x14ac:dyDescent="0.15">
      <c r="A2" s="26" t="s">
        <v>50</v>
      </c>
      <c r="B2" s="50" t="str">
        <f ca="1">Project_Name</f>
        <v>Road Runner-2017</v>
      </c>
      <c r="C2" s="50"/>
    </row>
    <row r="3" spans="1:9" ht="15" x14ac:dyDescent="0.15">
      <c r="A3" s="26" t="s">
        <v>51</v>
      </c>
      <c r="B3" s="50" t="s">
        <v>179</v>
      </c>
      <c r="C3" s="50" t="s">
        <v>155</v>
      </c>
    </row>
    <row r="4" spans="1:9" x14ac:dyDescent="0.15">
      <c r="A4" s="50"/>
      <c r="B4" s="50"/>
      <c r="C4" s="50"/>
      <c r="D4" s="18"/>
      <c r="E4" s="18"/>
      <c r="F4" s="18"/>
    </row>
    <row r="5" spans="1:9" ht="14" customHeight="1" x14ac:dyDescent="0.15">
      <c r="A5" s="23" t="s">
        <v>180</v>
      </c>
      <c r="B5" s="50"/>
      <c r="C5" s="50"/>
      <c r="D5" s="50"/>
      <c r="E5" s="50"/>
      <c r="F5" s="50"/>
      <c r="G5" s="50"/>
    </row>
    <row r="6" spans="1:9" x14ac:dyDescent="0.15">
      <c r="A6" s="23"/>
      <c r="B6" s="50"/>
      <c r="C6" s="50"/>
      <c r="D6" s="50"/>
      <c r="E6" s="50"/>
      <c r="F6" s="50"/>
      <c r="G6" s="50"/>
    </row>
    <row r="7" spans="1:9" x14ac:dyDescent="0.15">
      <c r="A7" s="23"/>
      <c r="B7" s="50"/>
      <c r="C7" s="50"/>
      <c r="D7" s="50"/>
      <c r="E7" s="50"/>
      <c r="F7" s="50"/>
      <c r="G7" s="50"/>
    </row>
    <row r="8" spans="1:9" x14ac:dyDescent="0.15">
      <c r="A8" s="23" t="s">
        <v>75</v>
      </c>
      <c r="B8" s="50"/>
      <c r="C8" s="50"/>
      <c r="D8" s="50"/>
      <c r="E8" s="50"/>
      <c r="F8" s="50"/>
      <c r="G8" s="50"/>
    </row>
    <row r="9" spans="1:9" x14ac:dyDescent="0.15">
      <c r="A9" s="23" t="s">
        <v>76</v>
      </c>
      <c r="B9" s="50"/>
      <c r="C9" s="50"/>
      <c r="D9" s="50"/>
      <c r="E9" s="50"/>
      <c r="F9" s="50"/>
      <c r="G9" s="50"/>
    </row>
    <row r="11" spans="1:9" s="14" customFormat="1" ht="30" x14ac:dyDescent="0.2">
      <c r="A11" s="15" t="s">
        <v>53</v>
      </c>
      <c r="B11" s="15" t="s">
        <v>54</v>
      </c>
      <c r="C11" s="15" t="s">
        <v>55</v>
      </c>
      <c r="D11" s="19" t="s">
        <v>33</v>
      </c>
      <c r="E11" s="19" t="s">
        <v>56</v>
      </c>
      <c r="F11" s="19" t="s">
        <v>57</v>
      </c>
      <c r="G11" s="19" t="s">
        <v>58</v>
      </c>
      <c r="H11" s="17" t="s">
        <v>59</v>
      </c>
      <c r="I11" s="17" t="s">
        <v>60</v>
      </c>
    </row>
    <row r="12" spans="1:9" x14ac:dyDescent="0.15">
      <c r="A12" s="23" t="s">
        <v>158</v>
      </c>
      <c r="B12" s="50" t="s">
        <v>132</v>
      </c>
      <c r="C12" s="50" t="s">
        <v>159</v>
      </c>
      <c r="D12" s="21">
        <f>Start_Date</f>
        <v>42859</v>
      </c>
      <c r="E12" s="21">
        <f>D12+15</f>
        <v>42874</v>
      </c>
      <c r="H12" s="22">
        <v>300</v>
      </c>
    </row>
    <row r="13" spans="1:9" x14ac:dyDescent="0.15">
      <c r="A13" s="50"/>
      <c r="B13" s="50"/>
      <c r="C13" s="27"/>
    </row>
    <row r="14" spans="1:9" ht="26" x14ac:dyDescent="0.15">
      <c r="A14" s="50" t="s">
        <v>181</v>
      </c>
      <c r="B14" s="50" t="s">
        <v>339</v>
      </c>
      <c r="C14" s="50" t="s">
        <v>182</v>
      </c>
      <c r="D14" s="21">
        <f>E12</f>
        <v>42874</v>
      </c>
      <c r="E14" s="21">
        <f>D14+2</f>
        <v>42876</v>
      </c>
      <c r="H14" s="22">
        <f>SUM(H15:H17)</f>
        <v>0</v>
      </c>
      <c r="I14" s="22">
        <f>SUM(I15:I17)</f>
        <v>0</v>
      </c>
    </row>
    <row r="15" spans="1:9" ht="26" x14ac:dyDescent="0.15">
      <c r="A15" s="50"/>
      <c r="B15" s="50"/>
      <c r="C15" s="27" t="s">
        <v>183</v>
      </c>
      <c r="H15" s="22">
        <v>0</v>
      </c>
    </row>
    <row r="16" spans="1:9" x14ac:dyDescent="0.15">
      <c r="A16" s="50"/>
      <c r="B16" s="50"/>
      <c r="C16" s="27" t="s">
        <v>184</v>
      </c>
    </row>
    <row r="17" spans="1:9" x14ac:dyDescent="0.15">
      <c r="A17" s="50"/>
      <c r="B17" s="50"/>
      <c r="C17" s="27"/>
    </row>
    <row r="18" spans="1:9" ht="26" x14ac:dyDescent="0.15">
      <c r="A18" s="50" t="s">
        <v>176</v>
      </c>
      <c r="B18" s="50"/>
      <c r="C18" s="50" t="s">
        <v>185</v>
      </c>
      <c r="D18" s="21">
        <f>E12</f>
        <v>42874</v>
      </c>
      <c r="E18" s="21">
        <f>D18+1</f>
        <v>42875</v>
      </c>
      <c r="H18" s="22">
        <v>0</v>
      </c>
      <c r="I18" s="22">
        <v>0</v>
      </c>
    </row>
    <row r="19" spans="1:9" x14ac:dyDescent="0.15">
      <c r="A19" s="50"/>
      <c r="B19" s="50"/>
      <c r="C19" s="33"/>
    </row>
    <row r="20" spans="1:9" ht="26" x14ac:dyDescent="0.15">
      <c r="A20" s="50" t="s">
        <v>186</v>
      </c>
      <c r="B20" s="50" t="s">
        <v>165</v>
      </c>
      <c r="C20" s="50" t="s">
        <v>187</v>
      </c>
      <c r="D20" s="21">
        <f>E14+1</f>
        <v>42877</v>
      </c>
      <c r="E20" s="21">
        <f>D20+2</f>
        <v>42879</v>
      </c>
      <c r="H20" s="22">
        <f>SUM(H21:H26)</f>
        <v>2027.5</v>
      </c>
      <c r="I20" s="22">
        <f>SUM(I21:I26)</f>
        <v>0</v>
      </c>
    </row>
    <row r="21" spans="1:9" ht="39" x14ac:dyDescent="0.15">
      <c r="A21" s="50"/>
      <c r="B21" s="50"/>
      <c r="C21" s="27" t="s">
        <v>188</v>
      </c>
      <c r="H21" s="22">
        <f>22*(25)</f>
        <v>550</v>
      </c>
    </row>
    <row r="22" spans="1:9" ht="26" x14ac:dyDescent="0.15">
      <c r="A22" s="50"/>
      <c r="B22" s="50"/>
      <c r="C22" s="27" t="s">
        <v>340</v>
      </c>
      <c r="H22" s="22">
        <f>8*35</f>
        <v>280</v>
      </c>
    </row>
    <row r="23" spans="1:9" x14ac:dyDescent="0.15">
      <c r="A23" s="23"/>
      <c r="B23" s="50"/>
      <c r="C23" s="51" t="s">
        <v>189</v>
      </c>
      <c r="H23" s="22">
        <f>475+385</f>
        <v>860</v>
      </c>
    </row>
    <row r="24" spans="1:9" x14ac:dyDescent="0.15">
      <c r="A24" s="23"/>
      <c r="B24" s="72"/>
      <c r="C24" s="51" t="s">
        <v>344</v>
      </c>
      <c r="H24" s="22">
        <v>337.5</v>
      </c>
    </row>
    <row r="25" spans="1:9" ht="26" x14ac:dyDescent="0.15">
      <c r="A25" s="50"/>
      <c r="B25" s="50"/>
      <c r="C25" s="27" t="s">
        <v>190</v>
      </c>
      <c r="H25" s="22">
        <v>0</v>
      </c>
    </row>
    <row r="26" spans="1:9" x14ac:dyDescent="0.15">
      <c r="A26" s="50"/>
      <c r="B26" s="50"/>
      <c r="C26" s="27"/>
    </row>
    <row r="27" spans="1:9" x14ac:dyDescent="0.15">
      <c r="A27" s="50" t="s">
        <v>191</v>
      </c>
      <c r="B27" s="50" t="s">
        <v>132</v>
      </c>
      <c r="C27" s="33" t="s">
        <v>192</v>
      </c>
      <c r="D27" s="21">
        <f>E20</f>
        <v>42879</v>
      </c>
      <c r="E27" s="21">
        <f>D27+1</f>
        <v>42880</v>
      </c>
      <c r="H27" s="22">
        <f>SUM(H28:H31)</f>
        <v>2830</v>
      </c>
    </row>
    <row r="28" spans="1:9" x14ac:dyDescent="0.15">
      <c r="A28" s="50"/>
      <c r="B28" s="50"/>
      <c r="C28" s="27" t="s">
        <v>193</v>
      </c>
      <c r="H28" s="22">
        <v>350</v>
      </c>
    </row>
    <row r="29" spans="1:9" x14ac:dyDescent="0.15">
      <c r="A29" s="50"/>
      <c r="B29" s="50"/>
      <c r="C29" s="27" t="s">
        <v>341</v>
      </c>
      <c r="H29" s="22">
        <v>1700</v>
      </c>
    </row>
    <row r="30" spans="1:9" x14ac:dyDescent="0.15">
      <c r="A30" s="50"/>
      <c r="B30" s="50"/>
      <c r="C30" s="27" t="s">
        <v>345</v>
      </c>
      <c r="H30" s="22">
        <v>0</v>
      </c>
    </row>
    <row r="31" spans="1:9" x14ac:dyDescent="0.15">
      <c r="A31" s="50"/>
      <c r="B31" s="50"/>
      <c r="C31" s="27" t="s">
        <v>346</v>
      </c>
      <c r="H31" s="22">
        <v>780</v>
      </c>
    </row>
    <row r="32" spans="1:9" x14ac:dyDescent="0.15">
      <c r="A32" s="50"/>
      <c r="B32" s="50"/>
      <c r="C32" s="27"/>
    </row>
    <row r="33" spans="1:9" s="21" customFormat="1" x14ac:dyDescent="0.15">
      <c r="A33" s="50" t="s">
        <v>194</v>
      </c>
      <c r="B33" s="50" t="s">
        <v>132</v>
      </c>
      <c r="C33" s="50" t="s">
        <v>342</v>
      </c>
      <c r="D33" s="21">
        <f>E27</f>
        <v>42880</v>
      </c>
      <c r="E33" s="21">
        <f>D33</f>
        <v>42880</v>
      </c>
      <c r="H33" s="22">
        <v>700</v>
      </c>
      <c r="I33" s="22"/>
    </row>
    <row r="34" spans="1:9" s="21" customFormat="1" x14ac:dyDescent="0.15">
      <c r="A34" s="50"/>
      <c r="B34" s="50"/>
      <c r="C34" s="27" t="s">
        <v>195</v>
      </c>
      <c r="H34" s="22"/>
      <c r="I34" s="22"/>
    </row>
    <row r="35" spans="1:9" s="21" customFormat="1" x14ac:dyDescent="0.15">
      <c r="A35" s="50"/>
      <c r="B35" s="50"/>
      <c r="C35" s="50"/>
      <c r="H35" s="22"/>
      <c r="I35" s="22"/>
    </row>
    <row r="36" spans="1:9" x14ac:dyDescent="0.15">
      <c r="A36" s="50" t="s">
        <v>196</v>
      </c>
      <c r="B36" s="50" t="s">
        <v>132</v>
      </c>
      <c r="C36" s="50" t="s">
        <v>343</v>
      </c>
      <c r="D36" s="21">
        <f>MAX(E33+1,'Interior Demo'!E21+1)</f>
        <v>42881</v>
      </c>
      <c r="E36" s="21">
        <f>D36+1</f>
        <v>42882</v>
      </c>
      <c r="H36" s="22">
        <v>1400</v>
      </c>
    </row>
    <row r="37" spans="1:9" x14ac:dyDescent="0.15">
      <c r="A37" s="50"/>
      <c r="B37" s="50"/>
      <c r="C37" s="27" t="s">
        <v>197</v>
      </c>
    </row>
    <row r="38" spans="1:9" x14ac:dyDescent="0.15">
      <c r="A38" s="50"/>
      <c r="B38" s="50"/>
      <c r="C38" s="27" t="s">
        <v>198</v>
      </c>
    </row>
    <row r="39" spans="1:9" x14ac:dyDescent="0.15">
      <c r="A39" s="50"/>
      <c r="B39" s="50"/>
      <c r="C39" s="27" t="s">
        <v>199</v>
      </c>
    </row>
    <row r="40" spans="1:9" x14ac:dyDescent="0.15">
      <c r="A40" s="50"/>
      <c r="B40" s="50"/>
      <c r="C40" s="27" t="s">
        <v>200</v>
      </c>
    </row>
    <row r="42" spans="1:9" ht="26" x14ac:dyDescent="0.15">
      <c r="A42" s="50" t="s">
        <v>201</v>
      </c>
      <c r="B42" s="50" t="s">
        <v>132</v>
      </c>
      <c r="C42" s="50" t="s">
        <v>202</v>
      </c>
      <c r="D42" s="21">
        <f>E36</f>
        <v>42882</v>
      </c>
      <c r="E42" s="21">
        <f>D42+1</f>
        <v>42883</v>
      </c>
    </row>
    <row r="43" spans="1:9" x14ac:dyDescent="0.15">
      <c r="A43" s="40" t="s">
        <v>66</v>
      </c>
      <c r="B43" s="40" t="s">
        <v>335</v>
      </c>
      <c r="C43" s="40" t="s">
        <v>335</v>
      </c>
      <c r="H43" s="22">
        <f>SUM(H12:H42)*5%</f>
        <v>605.75</v>
      </c>
    </row>
    <row r="44" spans="1:9" x14ac:dyDescent="0.15">
      <c r="A44" s="50" t="s">
        <v>68</v>
      </c>
      <c r="B44" s="50" t="s">
        <v>69</v>
      </c>
      <c r="C44" s="50" t="s">
        <v>70</v>
      </c>
    </row>
    <row r="45" spans="1:9" x14ac:dyDescent="0.15">
      <c r="A45" s="50"/>
      <c r="B45" s="50" t="s">
        <v>69</v>
      </c>
      <c r="C45" s="50" t="s">
        <v>71</v>
      </c>
    </row>
    <row r="46" spans="1:9" x14ac:dyDescent="0.15">
      <c r="A46" s="50"/>
      <c r="B46" s="50" t="s">
        <v>69</v>
      </c>
      <c r="C46" s="50" t="s">
        <v>72</v>
      </c>
    </row>
  </sheetData>
  <phoneticPr fontId="4" type="noConversion"/>
  <pageMargins left="0.35" right="0.25" top="1" bottom="0.7" header="0.3" footer="0.3"/>
  <pageSetup orientation="landscape" horizontalDpi="0" verticalDpi="0"/>
  <headerFooter>
    <oddHeader>&amp;C&amp;"Myriad Pro Bold,Bold"&amp;11&amp;K6A0003Hermit Haus Redevelopment, LLC&amp;14&amp;K7F0002_x000D_&amp;F</oddHeader>
    <oddFooter>&amp;L&amp;"Myriad Pro,Bold"Contractor ______x000D_Hermit Haus _____&amp;C&amp;D&amp;RPage &amp;P</oddFooter>
  </headerFooter>
  <drawing r:id="rId1"/>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 Page</vt:lpstr>
      <vt:lpstr>Project Summary</vt:lpstr>
      <vt:lpstr>Exterior Demo</vt:lpstr>
      <vt:lpstr>Roof and Attic</vt:lpstr>
      <vt:lpstr>Building Exterior</vt:lpstr>
      <vt:lpstr>Landscaping</vt:lpstr>
      <vt:lpstr>Interior Demo</vt:lpstr>
      <vt:lpstr>Plumbing</vt:lpstr>
      <vt:lpstr>Electrical</vt:lpstr>
      <vt:lpstr>HVAC</vt:lpstr>
      <vt:lpstr>Walls &amp; Ceilings</vt:lpstr>
      <vt:lpstr>Paint</vt:lpstr>
      <vt:lpstr>Flooring</vt:lpstr>
      <vt:lpstr>Kitchen</vt:lpstr>
      <vt:lpstr>Baths</vt:lpstr>
      <vt:lpstr>Payment Schedule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2016-02-28T23:14:22Z</dcterms:created>
  <dcterms:modified xsi:type="dcterms:W3CDTF">2017-06-30T00:09:58Z</dcterms:modified>
  <cp:category/>
  <cp:contentStatus/>
</cp:coreProperties>
</file>